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8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1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sephcolannino/Library/CloudStorage/Dropbox/MCSPA/2nd ed. (2025)/2025/Spreadsheet Figures/"/>
    </mc:Choice>
  </mc:AlternateContent>
  <xr:revisionPtr revIDLastSave="0" documentId="8_{CFD9B7AC-7532-F14F-880B-0EAE767EA2ED}" xr6:coauthVersionLast="47" xr6:coauthVersionMax="47" xr10:uidLastSave="{00000000-0000-0000-0000-000000000000}"/>
  <bookViews>
    <workbookView xWindow="0" yWindow="600" windowWidth="28800" windowHeight="17500" tabRatio="791" xr2:uid="{74AF652E-BA4F-46E8-87A2-69F58172BB06}"/>
  </bookViews>
  <sheets>
    <sheet name="Instructions" sheetId="34" r:id="rId1"/>
    <sheet name="p 109" sheetId="33" r:id="rId2"/>
    <sheet name="9.1-1" sheetId="32" r:id="rId3"/>
    <sheet name="9.5-1" sheetId="31" r:id="rId4"/>
    <sheet name="10.7-1" sheetId="29" r:id="rId5"/>
    <sheet name="10.8-1" sheetId="30" r:id="rId6"/>
    <sheet name="11.1-1" sheetId="28" r:id="rId7"/>
    <sheet name="11.2-1" sheetId="27" r:id="rId8"/>
    <sheet name="11.3-1" sheetId="26" r:id="rId9"/>
    <sheet name="11.4-1" sheetId="25" r:id="rId10"/>
    <sheet name="11.5-1,2" sheetId="24" r:id="rId11"/>
    <sheet name="11.6-1,2" sheetId="23" r:id="rId12"/>
    <sheet name="11.7-1" sheetId="21" r:id="rId13"/>
    <sheet name="12.5-3" sheetId="19" r:id="rId14"/>
    <sheet name="12.7-1" sheetId="18" r:id="rId15"/>
    <sheet name="12.11-1" sheetId="17" r:id="rId16"/>
    <sheet name="12.13-1" sheetId="16" r:id="rId17"/>
    <sheet name="12.14-1" sheetId="20" r:id="rId18"/>
    <sheet name="13.2-1" sheetId="15" r:id="rId19"/>
    <sheet name="13.4-1" sheetId="14" r:id="rId20"/>
    <sheet name="13.5-1" sheetId="13" r:id="rId21"/>
    <sheet name="14.1-2" sheetId="12" r:id="rId22"/>
    <sheet name="14.1-4" sheetId="11" r:id="rId23"/>
    <sheet name="14.4-2" sheetId="10" r:id="rId24"/>
    <sheet name="15.1-5" sheetId="9" r:id="rId25"/>
    <sheet name="15.4-1" sheetId="8" r:id="rId26"/>
    <sheet name="16.2-1" sheetId="7" r:id="rId27"/>
    <sheet name="16.3-4" sheetId="38" r:id="rId28"/>
    <sheet name="16.5-1" sheetId="6" r:id="rId29"/>
    <sheet name="16.7-1,2,3" sheetId="5" r:id="rId30"/>
    <sheet name="16.8-1" sheetId="4" r:id="rId31"/>
    <sheet name="16.10-1" sheetId="35" r:id="rId32"/>
    <sheet name="16.11-1" sheetId="39" r:id="rId33"/>
    <sheet name="16.10-1 Basis" sheetId="36" r:id="rId34"/>
    <sheet name="Fig 17.1-1" sheetId="3" r:id="rId35"/>
    <sheet name="18.1-3" sheetId="1" r:id="rId36"/>
    <sheet name="20.3-1" sheetId="2" r:id="rId37"/>
  </sheets>
  <externalReferences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xlnm._FilterDatabase" localSheetId="29" hidden="1">'16.7-1,2,3'!$A$1:$A$106</definedName>
    <definedName name="a" localSheetId="4">'10.7-1'!$I$3:$I$6</definedName>
    <definedName name="a" localSheetId="5">'10.8-1'!$B$7:$B$10</definedName>
    <definedName name="A" localSheetId="6">'[1]10.3'!$D$16:$E$17</definedName>
    <definedName name="a" localSheetId="7">'11.2-1'!$M$3:$M$6</definedName>
    <definedName name="A" localSheetId="8">'[1]10.3'!$D$16:$E$17</definedName>
    <definedName name="A" localSheetId="9">'11.4-1'!$C$15:$D$16</definedName>
    <definedName name="a" localSheetId="10">'11.5-1,2'!$M$13:$M$17</definedName>
    <definedName name="a" localSheetId="11">'11.6-1,2'!$M$13:$M$17</definedName>
    <definedName name="a" localSheetId="12">'11.7-1'!$Y$20:$Y$29</definedName>
    <definedName name="a" localSheetId="16">'12.13-1'!$J$12:$J$15</definedName>
    <definedName name="a" localSheetId="23">'14.4-2'!$N$8:$N$17</definedName>
    <definedName name="a" localSheetId="27">'16.3-4'!$F$21:$F$23</definedName>
    <definedName name="a" localSheetId="29">'16.7-1,2,3'!$O$15:$O$20</definedName>
    <definedName name="a" localSheetId="30">'16.8-1'!$Q$15:$Q$20</definedName>
    <definedName name="a" localSheetId="3">'9.5-1'!$AA$26:$AA$35</definedName>
    <definedName name="A">'[2]10.3'!$D$16:$E$17</definedName>
    <definedName name="a_0" localSheetId="6">'[1]10.3'!$C$14</definedName>
    <definedName name="a_0" localSheetId="7">'[1]10.3'!$C$14</definedName>
    <definedName name="a_0" localSheetId="8">'[1]10.3'!$C$14</definedName>
    <definedName name="a_0" localSheetId="9">'11.4-1'!$B$13</definedName>
    <definedName name="a_0" localSheetId="12">'11.7-1'!$Y$20</definedName>
    <definedName name="a_0">'[2]10.3'!$C$14</definedName>
    <definedName name="a_1" localSheetId="12">'11.7-1'!$Y$21:$Y$23</definedName>
    <definedName name="a_1" localSheetId="3">'9.5-1'!$AN$3</definedName>
    <definedName name="a_2" localSheetId="12">'11.7-1'!$Y$24:$Y$26</definedName>
    <definedName name="a_2" localSheetId="3">'9.5-1'!$AN$6</definedName>
    <definedName name="a_3" localSheetId="12">'11.7-1'!$Y$27:$Y$29</definedName>
    <definedName name="a_j" localSheetId="30">'16.8-1'!$O$15:$O$20</definedName>
    <definedName name="a_x1" localSheetId="29">'16.7-1,2,3'!$AA$3:$AA$7</definedName>
    <definedName name="a_x2" localSheetId="29">'16.7-1,2,3'!$AA$10:$AA$14</definedName>
    <definedName name="a_x3" localSheetId="29">'16.7-1,2,3'!$AA$17:$AA$21</definedName>
    <definedName name="a_x4" localSheetId="29">'16.7-1,2,3'!$AA$24:$AA$28</definedName>
    <definedName name="a_x5" localSheetId="29">'16.7-1,2,3'!$AA$31:$AA$35</definedName>
    <definedName name="a_y1" localSheetId="29">'16.7-1,2,3'!$AC$3:$AC$7</definedName>
    <definedName name="a_y2" localSheetId="29">'16.7-1,2,3'!$AC$10:$AC$14</definedName>
    <definedName name="a_y3" localSheetId="29">'16.7-1,2,3'!$AC$17:$AC$21</definedName>
    <definedName name="a_y4" localSheetId="29">'16.7-1,2,3'!$AC$24:$AC$28</definedName>
    <definedName name="a_y5" localSheetId="29">'16.7-1,2,3'!$AC$31:$AC$35</definedName>
    <definedName name="b" localSheetId="10">'11.5-1,2'!$N$13:$N$17</definedName>
    <definedName name="b" localSheetId="11">'11.6-1,2'!$N$13:$N$17</definedName>
    <definedName name="b" localSheetId="12">'11.7-1'!$AE$25:$AE$28</definedName>
    <definedName name="b" localSheetId="23">'14.4-2'!$V$30:$V$39</definedName>
    <definedName name="c_" localSheetId="12">'11.7-1'!$AB$25:$AB$28</definedName>
    <definedName name="d" localSheetId="12">'11.7-1'!$Z$20:$Z$29</definedName>
    <definedName name="d_" localSheetId="32">'16.11-1'!#REF!</definedName>
    <definedName name="d_">#REF!</definedName>
    <definedName name="DFR" localSheetId="27">'16.3-4'!$K$21</definedName>
    <definedName name="DFR" localSheetId="29">'16.7-1,2,3'!$P$11</definedName>
    <definedName name="DFR" localSheetId="30">'16.8-1'!$O$11</definedName>
    <definedName name="DFR">'16.10-1 Basis'!$P$23</definedName>
    <definedName name="DFT">'16.10-1 Basis'!$P$24</definedName>
    <definedName name="F_s" localSheetId="25">'15.4-1'!$C$3:$F$10</definedName>
    <definedName name="F_t" localSheetId="25">'15.4-1'!$I$3:$L$6</definedName>
    <definedName name="H" localSheetId="3">'9.5-1'!$P$3:$Y$102</definedName>
    <definedName name="h_max" localSheetId="32">'16.11-1'!$O$32</definedName>
    <definedName name="h_max">#REF!</definedName>
    <definedName name="INV_QSA" localSheetId="24">[3]Q!$U$2:$AD$11</definedName>
    <definedName name="INV_QSC" localSheetId="24">[3]Q!$B$2:$H$8</definedName>
    <definedName name="INV_QSL" localSheetId="24">[3]Q!$J$2:$S$11</definedName>
    <definedName name="INV_S" localSheetId="21">'14.1-2'!$A$26:$G$32</definedName>
    <definedName name="INV_S" localSheetId="23">'14.4-2'!$A$52:$J$61</definedName>
    <definedName name="INV_S1" localSheetId="21">'14.1-2'!$H$26:$N$32</definedName>
    <definedName name="INV_S2" localSheetId="21">'14.1-2'!$O$26:$U$32</definedName>
    <definedName name="INV_S3" localSheetId="21">'14.1-2'!$V$26:$AB$32</definedName>
    <definedName name="INV_X" localSheetId="23">'14.4-2'!$L$19:$U$28</definedName>
    <definedName name="INV_XTX" localSheetId="32">'16.11-1'!#REF!</definedName>
    <definedName name="INV_XTX" localSheetId="27">'16.3-4'!$C$21:$E$23</definedName>
    <definedName name="INV_XTX" localSheetId="30">'16.8-1'!$M$3:$R$8</definedName>
    <definedName name="INV_XTX">'16.7-1,2,3'!$N$3:$S$8</definedName>
    <definedName name="INV_ZSA" localSheetId="24">'15.1-5'!$M$31:$V$40</definedName>
    <definedName name="INV_ZSC" localSheetId="24">'15.1-5'!$I$11:$O$17</definedName>
    <definedName name="INV_ZSL" localSheetId="24">'15.1-5'!$B$31:$K$40</definedName>
    <definedName name="K" localSheetId="6">'[1]10.3'!$F$15:$G$16</definedName>
    <definedName name="K" localSheetId="7">'[1]10.3'!$F$15:$G$16</definedName>
    <definedName name="K" localSheetId="8">'[1]10.3'!$F$15:$G$16</definedName>
    <definedName name="K" localSheetId="9">'11.4-1'!$E$14:$F$15</definedName>
    <definedName name="K" localSheetId="12">'[4]6.3'!$F$15:$G$16</definedName>
    <definedName name="K">'[2]10.3'!$F$15:$G$16</definedName>
    <definedName name="L" localSheetId="11">'11.6-1,2'!$B$19:$F$23</definedName>
    <definedName name="L">'11.5-1,2'!$B$19:$F$23</definedName>
    <definedName name="L_T" localSheetId="12">'11.7-1'!$AB$20:$AE$23</definedName>
    <definedName name="LT_INV" localSheetId="3">'9.5-1'!$AA$14:$AJ$23</definedName>
    <definedName name="m" localSheetId="7">'11.2-1'!$H$8</definedName>
    <definedName name="m" localSheetId="16">'12.13-1'!$K$14</definedName>
    <definedName name="m" localSheetId="32">'16.11-1'!$X$30</definedName>
    <definedName name="m" localSheetId="27">'16.3-4'!$P$20</definedName>
    <definedName name="m">'16.10-1 Basis'!$L$20</definedName>
    <definedName name="m_1" localSheetId="3">'9.5-1'!$AN$4</definedName>
    <definedName name="m_2" localSheetId="3">'9.5-1'!$AN$7</definedName>
    <definedName name="MSR" localSheetId="27">'16.3-4'!$L$21</definedName>
    <definedName name="MSR">'16.10-1 Basis'!$Q$23</definedName>
    <definedName name="n" localSheetId="7">'11.2-1'!$H$9</definedName>
    <definedName name="n" localSheetId="16">'12.13-1'!$K$12</definedName>
    <definedName name="n" localSheetId="32">'16.11-1'!$A$27</definedName>
    <definedName name="n" localSheetId="27">'16.3-4'!$P$21</definedName>
    <definedName name="n">'16.10-1 Basis'!$L$3</definedName>
    <definedName name="p" localSheetId="12">'11.7-1'!$X$20:$X$29</definedName>
    <definedName name="p_0" localSheetId="12">'11.7-1'!$X$20</definedName>
    <definedName name="p_1" localSheetId="12">'11.7-1'!$X$21:$X$23</definedName>
    <definedName name="p_2" localSheetId="12">'11.7-1'!$X$24:$X$26</definedName>
    <definedName name="p_3" localSheetId="12">'11.7-1'!$X$27:$X$29</definedName>
    <definedName name="Q" localSheetId="12">'11.7-1'!$AI$2:$AR$17</definedName>
    <definedName name="Q_0" localSheetId="12">'11.7-1'!$AI$2:$AI$17</definedName>
    <definedName name="Q_1" localSheetId="12">'11.7-1'!$AJ$2:$AL$17</definedName>
    <definedName name="Q_2" localSheetId="12">'11.7-1'!$AM$2:$AO$17</definedName>
    <definedName name="Q_3" localSheetId="12">'11.7-1'!$AP$2:$AR$17</definedName>
    <definedName name="Q_adj" localSheetId="12">'11.7-1'!$M$3:$V$18</definedName>
    <definedName name="q_s" localSheetId="25">'15.4-1'!$B$3:$B$10</definedName>
    <definedName name="R_x" localSheetId="32">'16.11-1'!#REF!</definedName>
    <definedName name="R_x">#REF!</definedName>
    <definedName name="R_y" localSheetId="32">'16.11-1'!#REF!</definedName>
    <definedName name="R_y">#REF!</definedName>
    <definedName name="R_z" localSheetId="32">'16.11-1'!#REF!</definedName>
    <definedName name="R_z">#REF!</definedName>
    <definedName name="S" localSheetId="32">'16.11-1'!$G$9:$J$12</definedName>
    <definedName name="s" localSheetId="29">'16.7-1,2,3'!$S$11</definedName>
    <definedName name="s" localSheetId="30">'16.8-1'!$R$11</definedName>
    <definedName name="s">'16.10-1 Basis'!$S$23</definedName>
    <definedName name="s_1" localSheetId="3">'9.5-1'!$AN$5</definedName>
    <definedName name="s_2" localSheetId="3">'9.5-1'!$AN$8</definedName>
    <definedName name="Samek" localSheetId="12">'11.7-1'!$B$33:$K$42</definedName>
    <definedName name="Samek_Inv" localSheetId="12">'11.7-1'!$M$1:$V$1</definedName>
    <definedName name="solver_adj" localSheetId="12" hidden="1">'11.7-1'!#REF!</definedName>
    <definedName name="solver_adj" localSheetId="33" hidden="1">'16.10-1 Basis'!#REF!</definedName>
    <definedName name="solver_adj" localSheetId="32" hidden="1">'16.11-1'!#REF!</definedName>
    <definedName name="solver_adj" localSheetId="35" hidden="1">'18.1-3'!$I$19</definedName>
    <definedName name="solver_cvg" localSheetId="12" hidden="1">0.0001</definedName>
    <definedName name="solver_cvg" localSheetId="33" hidden="1">0.0001</definedName>
    <definedName name="solver_cvg" localSheetId="32" hidden="1">0.0001</definedName>
    <definedName name="solver_cvg" localSheetId="35" hidden="1">0.0001</definedName>
    <definedName name="solver_drv" localSheetId="12" hidden="1">1</definedName>
    <definedName name="solver_drv" localSheetId="33" hidden="1">1</definedName>
    <definedName name="solver_drv" localSheetId="32" hidden="1">1</definedName>
    <definedName name="solver_drv" localSheetId="35" hidden="1">1</definedName>
    <definedName name="solver_eng" localSheetId="6" hidden="1">1</definedName>
    <definedName name="solver_eng" localSheetId="12" hidden="1">1</definedName>
    <definedName name="solver_eng" localSheetId="33" hidden="1">1</definedName>
    <definedName name="solver_eng" localSheetId="32" hidden="1">1</definedName>
    <definedName name="solver_eng" localSheetId="35" hidden="1">1</definedName>
    <definedName name="solver_est" localSheetId="33" hidden="1">1</definedName>
    <definedName name="solver_est" localSheetId="32" hidden="1">1</definedName>
    <definedName name="solver_itr" localSheetId="12" hidden="1">2147483647</definedName>
    <definedName name="solver_itr" localSheetId="33" hidden="1">2147483647</definedName>
    <definedName name="solver_itr" localSheetId="32" hidden="1">2147483647</definedName>
    <definedName name="solver_itr" localSheetId="35" hidden="1">2147483647</definedName>
    <definedName name="solver_lhs1" localSheetId="12" hidden="1">'11.7-1'!#REF!</definedName>
    <definedName name="solver_lin" localSheetId="6" hidden="1">2</definedName>
    <definedName name="solver_lin" localSheetId="12" hidden="1">2</definedName>
    <definedName name="solver_lin" localSheetId="35" hidden="1">2</definedName>
    <definedName name="solver_mip" localSheetId="12" hidden="1">2147483647</definedName>
    <definedName name="solver_mip" localSheetId="33" hidden="1">2147483647</definedName>
    <definedName name="solver_mip" localSheetId="32" hidden="1">2147483647</definedName>
    <definedName name="solver_mip" localSheetId="35" hidden="1">2147483647</definedName>
    <definedName name="solver_mni" localSheetId="12" hidden="1">30</definedName>
    <definedName name="solver_mni" localSheetId="33" hidden="1">30</definedName>
    <definedName name="solver_mni" localSheetId="32" hidden="1">30</definedName>
    <definedName name="solver_mni" localSheetId="35" hidden="1">30</definedName>
    <definedName name="solver_mrt" localSheetId="12" hidden="1">0.075</definedName>
    <definedName name="solver_mrt" localSheetId="33" hidden="1">0.075</definedName>
    <definedName name="solver_mrt" localSheetId="32" hidden="1">0.075</definedName>
    <definedName name="solver_mrt" localSheetId="35" hidden="1">0.075</definedName>
    <definedName name="solver_msl" localSheetId="12" hidden="1">2</definedName>
    <definedName name="solver_msl" localSheetId="33" hidden="1">2</definedName>
    <definedName name="solver_msl" localSheetId="32" hidden="1">2</definedName>
    <definedName name="solver_msl" localSheetId="35" hidden="1">2</definedName>
    <definedName name="solver_neg" localSheetId="6" hidden="1">1</definedName>
    <definedName name="solver_neg" localSheetId="12" hidden="1">1</definedName>
    <definedName name="solver_neg" localSheetId="33" hidden="1">2</definedName>
    <definedName name="solver_neg" localSheetId="32" hidden="1">1</definedName>
    <definedName name="solver_neg" localSheetId="35" hidden="1">2</definedName>
    <definedName name="solver_nod" localSheetId="12" hidden="1">2147483647</definedName>
    <definedName name="solver_nod" localSheetId="33" hidden="1">2147483647</definedName>
    <definedName name="solver_nod" localSheetId="32" hidden="1">2147483647</definedName>
    <definedName name="solver_nod" localSheetId="35" hidden="1">2147483647</definedName>
    <definedName name="solver_num" localSheetId="6" hidden="1">0</definedName>
    <definedName name="solver_num" localSheetId="12" hidden="1">1</definedName>
    <definedName name="solver_num" localSheetId="33" hidden="1">0</definedName>
    <definedName name="solver_num" localSheetId="32" hidden="1">0</definedName>
    <definedName name="solver_num" localSheetId="35" hidden="1">0</definedName>
    <definedName name="solver_nwt" localSheetId="33" hidden="1">1</definedName>
    <definedName name="solver_nwt" localSheetId="32" hidden="1">1</definedName>
    <definedName name="solver_opt" localSheetId="6" hidden="1">'11.1-1'!#REF!</definedName>
    <definedName name="solver_opt" localSheetId="12" hidden="1">'11.7-1'!#REF!</definedName>
    <definedName name="solver_opt" localSheetId="33" hidden="1">'16.10-1 Basis'!#REF!</definedName>
    <definedName name="solver_opt" localSheetId="32" hidden="1">'16.11-1'!#REF!</definedName>
    <definedName name="solver_opt" localSheetId="35" hidden="1">'18.1-3'!$G$19</definedName>
    <definedName name="solver_pre" localSheetId="12" hidden="1">0.000001</definedName>
    <definedName name="solver_pre" localSheetId="33" hidden="1">0.000001</definedName>
    <definedName name="solver_pre" localSheetId="32" hidden="1">0.000001</definedName>
    <definedName name="solver_pre" localSheetId="35" hidden="1">0.000001</definedName>
    <definedName name="solver_rbv" localSheetId="12" hidden="1">1</definedName>
    <definedName name="solver_rbv" localSheetId="33" hidden="1">1</definedName>
    <definedName name="solver_rbv" localSheetId="32" hidden="1">1</definedName>
    <definedName name="solver_rbv" localSheetId="35" hidden="1">1</definedName>
    <definedName name="solver_rel1" localSheetId="12" hidden="1">1</definedName>
    <definedName name="solver_rhs1" localSheetId="12" hidden="1">4</definedName>
    <definedName name="solver_rlx" localSheetId="12" hidden="1">1</definedName>
    <definedName name="solver_rlx" localSheetId="33" hidden="1">2</definedName>
    <definedName name="solver_rlx" localSheetId="32" hidden="1">2</definedName>
    <definedName name="solver_rlx" localSheetId="35" hidden="1">2</definedName>
    <definedName name="solver_rsd" localSheetId="12" hidden="1">0</definedName>
    <definedName name="solver_rsd" localSheetId="33" hidden="1">0</definedName>
    <definedName name="solver_rsd" localSheetId="32" hidden="1">0</definedName>
    <definedName name="solver_rsd" localSheetId="35" hidden="1">0</definedName>
    <definedName name="solver_scl" localSheetId="12" hidden="1">2</definedName>
    <definedName name="solver_scl" localSheetId="33" hidden="1">1</definedName>
    <definedName name="solver_scl" localSheetId="32" hidden="1">1</definedName>
    <definedName name="solver_scl" localSheetId="35" hidden="1">1</definedName>
    <definedName name="solver_sho" localSheetId="12" hidden="1">2</definedName>
    <definedName name="solver_sho" localSheetId="33" hidden="1">2</definedName>
    <definedName name="solver_sho" localSheetId="32" hidden="1">2</definedName>
    <definedName name="solver_sho" localSheetId="35" hidden="1">2</definedName>
    <definedName name="solver_ssz" localSheetId="12" hidden="1">100</definedName>
    <definedName name="solver_ssz" localSheetId="33" hidden="1">100</definedName>
    <definedName name="solver_ssz" localSheetId="32" hidden="1">100</definedName>
    <definedName name="solver_ssz" localSheetId="35" hidden="1">100</definedName>
    <definedName name="solver_tim" localSheetId="12" hidden="1">2147483647</definedName>
    <definedName name="solver_tim" localSheetId="33" hidden="1">2147483647</definedName>
    <definedName name="solver_tim" localSheetId="32" hidden="1">2147483647</definedName>
    <definedName name="solver_tim" localSheetId="35" hidden="1">2147483647</definedName>
    <definedName name="solver_tol" localSheetId="12" hidden="1">0.01</definedName>
    <definedName name="solver_tol" localSheetId="33" hidden="1">0.01</definedName>
    <definedName name="solver_tol" localSheetId="32" hidden="1">0.01</definedName>
    <definedName name="solver_tol" localSheetId="35" hidden="1">0.01</definedName>
    <definedName name="solver_typ" localSheetId="6" hidden="1">1</definedName>
    <definedName name="solver_typ" localSheetId="12" hidden="1">3</definedName>
    <definedName name="solver_typ" localSheetId="33" hidden="1">3</definedName>
    <definedName name="solver_typ" localSheetId="32" hidden="1">1</definedName>
    <definedName name="solver_typ" localSheetId="35" hidden="1">1</definedName>
    <definedName name="solver_val" localSheetId="6" hidden="1">0</definedName>
    <definedName name="solver_val" localSheetId="12" hidden="1">0</definedName>
    <definedName name="solver_val" localSheetId="33" hidden="1">0</definedName>
    <definedName name="solver_val" localSheetId="32" hidden="1">0</definedName>
    <definedName name="solver_val" localSheetId="35" hidden="1">0</definedName>
    <definedName name="solver_ver" localSheetId="6" hidden="1">2</definedName>
    <definedName name="solver_ver" localSheetId="12" hidden="1">2</definedName>
    <definedName name="solver_ver" localSheetId="33" hidden="1">3</definedName>
    <definedName name="solver_ver" localSheetId="32" hidden="1">3</definedName>
    <definedName name="solver_ver" localSheetId="35" hidden="1">2</definedName>
    <definedName name="T" localSheetId="32">'16.11-1'!#REF!</definedName>
    <definedName name="T">#REF!</definedName>
    <definedName name="t_crit" localSheetId="29">'16.7-1,2,3'!$T$10</definedName>
    <definedName name="t_crit" localSheetId="30">'16.8-1'!$T$12</definedName>
    <definedName name="U" localSheetId="12">'11.7-1'!$AB$3:$AE$18</definedName>
    <definedName name="u" localSheetId="16">'12.13-1'!$K$16</definedName>
    <definedName name="u_" localSheetId="9">'11.4-1'!$K$3:$L$11</definedName>
    <definedName name="V" localSheetId="12">'11.7-1'!$AS$3:$AV$18</definedName>
    <definedName name="W" localSheetId="10">'11.5-1,2'!$G$3:$K$11</definedName>
    <definedName name="W" localSheetId="11">'11.6-1,2'!$G$3:$K$11</definedName>
    <definedName name="W" localSheetId="21">'14.1-2'!$H$3:$N$14</definedName>
    <definedName name="W" localSheetId="23">'14.4-2'!$M$3:$U$17</definedName>
    <definedName name="W" localSheetId="32">'16.11-1'!$K$3:$N$27</definedName>
    <definedName name="W">#REF!</definedName>
    <definedName name="W_1" localSheetId="21">'14.1-2'!$O$3:$U$14</definedName>
    <definedName name="W_2" localSheetId="21">'14.1-2'!$V$3:$AB$14</definedName>
    <definedName name="wX" localSheetId="3">'9.5-1'!$F$3:$O$102</definedName>
    <definedName name="X" localSheetId="4">'10.7-1'!$E$3:$H$11</definedName>
    <definedName name="X" localSheetId="7">'11.2-1'!$A$3:$D$10</definedName>
    <definedName name="X" localSheetId="9">'11.4-1'!$B$3:$G$11</definedName>
    <definedName name="X" localSheetId="10">'11.5-1,2'!$B$3:$F$11</definedName>
    <definedName name="X" localSheetId="11">'11.6-1,2'!$B$3:$F$11</definedName>
    <definedName name="X" localSheetId="12">'11.7-1'!$B$3:$K$18</definedName>
    <definedName name="X" localSheetId="16">'12.13-1'!$E$3:$H$10</definedName>
    <definedName name="X" localSheetId="17">'12.14-1'!$H$3:$O$38</definedName>
    <definedName name="X" localSheetId="21">'14.1-2'!$A$3:$G$14</definedName>
    <definedName name="X" localSheetId="22">'14.1-4'!$A$3:$F$14</definedName>
    <definedName name="X" localSheetId="23">'14.4-2'!$A$3:$J$17</definedName>
    <definedName name="X" localSheetId="32">'16.11-1'!$B$3:$E$27</definedName>
    <definedName name="X" localSheetId="27">'16.3-4'!$C$5:$E$15</definedName>
    <definedName name="X" localSheetId="29">'16.7-1,2,3'!$D$3:$I$30</definedName>
    <definedName name="X" localSheetId="30">'16.8-1'!$G$3:$L$30</definedName>
    <definedName name="X" localSheetId="35">'18.1-3'!$H$4:$L$17</definedName>
    <definedName name="X">'9.1-1'!$G$3:$J$13</definedName>
    <definedName name="x_" localSheetId="9">'11.4-1'!$C$3:$D$11</definedName>
    <definedName name="x_" localSheetId="32">'16.11-1'!$L$34</definedName>
    <definedName name="x_">#REF!</definedName>
    <definedName name="X_0" localSheetId="12">'11.7-1'!$B$3:$B$18</definedName>
    <definedName name="X_1" localSheetId="12">'11.7-1'!$C$3:$E$18</definedName>
    <definedName name="x_1" localSheetId="29">'16.7-1,2,3'!$E$3:$E$30</definedName>
    <definedName name="X_2" localSheetId="12">'11.7-1'!$F$3:$H$18</definedName>
    <definedName name="x_2" localSheetId="29">'16.7-1,2,3'!$F$3:$F$30</definedName>
    <definedName name="X_3" localSheetId="12">'11.7-1'!$I$3:$K$18</definedName>
    <definedName name="x_3" localSheetId="29">'16.7-1,2,3'!$G$3:$G$30</definedName>
    <definedName name="x_4" localSheetId="29">'16.7-1,2,3'!$H$3:$H$30</definedName>
    <definedName name="x_5" localSheetId="29">'16.7-1,2,3'!$I$3:$I$30</definedName>
    <definedName name="X_not_1" localSheetId="29">'16.7-1,2,3'!$F$3:$J$30</definedName>
    <definedName name="X_not_2" localSheetId="29">'16.7-1,2,3'!$G$3:$K$30</definedName>
    <definedName name="X_not_3" localSheetId="29">'16.7-1,2,3'!$H$3:$L$30</definedName>
    <definedName name="X_not_4">'16.7-1,2,3'!$I$3:$M$30</definedName>
    <definedName name="X_not_5" localSheetId="29">'16.7-1,2,3'!$D$3:$H$30</definedName>
    <definedName name="x_S" localSheetId="9">'11.4-1'!$I$15:$I$16</definedName>
    <definedName name="X_sig">'14.1-4'!$P$3:$S$14</definedName>
    <definedName name="x_SV" localSheetId="30">'16.8-1'!$N$15:$N$20</definedName>
    <definedName name="XTX" localSheetId="16">'12.13-1'!$A$12:$D$15</definedName>
    <definedName name="XTX" localSheetId="23">'14.4-2'!$A$19:$J$28</definedName>
    <definedName name="XTX" localSheetId="32">'16.11-1'!$G$3:$J$6</definedName>
    <definedName name="XTX" localSheetId="35">'18.1-3'!$H$21:$L$25</definedName>
    <definedName name="XTX">#REF!</definedName>
    <definedName name="XTX_Inv" localSheetId="16">'12.13-1'!$E$12:$H$15</definedName>
    <definedName name="XTy" localSheetId="16">'12.13-1'!$I$12:$I$15</definedName>
    <definedName name="XTy" localSheetId="23">'14.4-2'!$K$19:$K$28</definedName>
    <definedName name="XTy" localSheetId="27">'16.3-4'!$F$17:$F$19</definedName>
    <definedName name="XTy">'16.10-1 Basis'!$L$22:$L$29</definedName>
    <definedName name="y" localSheetId="4">'10.7-1'!$C$3:$C$11</definedName>
    <definedName name="y" localSheetId="7">'11.2-1'!$E$3:$E$10</definedName>
    <definedName name="y" localSheetId="9">'11.4-1'!$H$3:$H$11</definedName>
    <definedName name="y" localSheetId="10">'11.5-1,2'!$L$3:$L$11</definedName>
    <definedName name="y" localSheetId="11">'11.6-1,2'!$L$3:$L$11</definedName>
    <definedName name="y" localSheetId="12">'11.7-1'!$AA$3:$AA$18</definedName>
    <definedName name="y" localSheetId="16">'12.13-1'!$I$3:$I$10</definedName>
    <definedName name="y" localSheetId="22">'14.1-4'!$G$3:$G$14</definedName>
    <definedName name="y" localSheetId="23">'14.4-2'!$K$3:$K$17</definedName>
    <definedName name="y" localSheetId="32">'16.11-1'!#REF!</definedName>
    <definedName name="y" localSheetId="27">'16.3-4'!$F$5:$F$15</definedName>
    <definedName name="y" localSheetId="29">'16.7-1,2,3'!$B$3:$B$30</definedName>
    <definedName name="y" localSheetId="30">'16.8-1'!$B$3:$B$30</definedName>
    <definedName name="y" localSheetId="35">'18.1-3'!$D$4:$D$17</definedName>
    <definedName name="y" localSheetId="3">'9.5-1'!$D$3:$D$102</definedName>
    <definedName name="y">'9.1-1'!$D$3:$D$13</definedName>
    <definedName name="y_" localSheetId="32">'16.11-1'!$M$34</definedName>
    <definedName name="y_">#REF!</definedName>
    <definedName name="y_adj">'16.10-1 Basis'!$A$3:$A$129</definedName>
    <definedName name="y_bar" localSheetId="7">'11.2-1'!$H$10</definedName>
    <definedName name="y_bar" localSheetId="27">'16.3-4'!$P$19</definedName>
    <definedName name="y_bar" localSheetId="29">'16.7-1,2,3'!$B$31</definedName>
    <definedName name="y_bar" localSheetId="30">'16.8-1'!$B$31</definedName>
    <definedName name="y_hat" localSheetId="7">'11.2-1'!$F$3:$F$10</definedName>
    <definedName name="y_hat" localSheetId="12">'11.7-1'!$Y$3:$Y$18</definedName>
    <definedName name="y_hat" localSheetId="16">'12.13-1'!$J$3:$J$10</definedName>
    <definedName name="y_hat" localSheetId="22">'14.1-4'!$H$3:$H$14</definedName>
    <definedName name="y_hat" localSheetId="23">'14.4-2'!$L$3:$L$17</definedName>
    <definedName name="y_hat" localSheetId="27">'16.3-4'!$G$5:$G$15</definedName>
    <definedName name="y_hat" localSheetId="29">'16.7-1,2,3'!$C$3:$C$30</definedName>
    <definedName name="y_hat" localSheetId="30">'16.8-1'!$C$3:$C$30</definedName>
    <definedName name="y_hat" localSheetId="3">'9.5-1'!$E$3:$E$102</definedName>
    <definedName name="y_hat_adj">'16.10-1 Basis'!$B$3:$B$129</definedName>
    <definedName name="y_max" localSheetId="35">'18.1-3'!$G$19</definedName>
    <definedName name="y_r" localSheetId="16">'12.13-1'!$K$3:$K$10</definedName>
    <definedName name="y_S" localSheetId="9">'11.4-1'!$I$13</definedName>
    <definedName name="z_" localSheetId="32">'16.11-1'!$N$34</definedName>
    <definedName name="z_">#REF!</definedName>
    <definedName name="Z_SA" localSheetId="24">'15.1-5'!$M$20:$V$29</definedName>
    <definedName name="Z_SC" localSheetId="24">'15.1-5'!$I$3:$O$9</definedName>
    <definedName name="Z_SL" localSheetId="24">'15.1-5'!$B$20:$K$29</definedName>
    <definedName name="ZINVQ_SA" localSheetId="24">[3]Q!$U$13:$AD$22</definedName>
    <definedName name="ZINVQ_SC" localSheetId="24">[3]Q!$B$10:$H$16</definedName>
    <definedName name="ZINVQ_SL" localSheetId="24">[3]Q!$J$13:$S$22</definedName>
    <definedName name="α" localSheetId="9">'11.4-1'!$B$14:$B$15</definedName>
    <definedName name="β" localSheetId="9">'11.4-1'!$G$13:$H$13</definedName>
    <definedName name="δ_pt" localSheetId="32">'16.11-1'!$P$34</definedName>
    <definedName name="δ_pt">#REF!</definedName>
    <definedName name="ͶA" localSheetId="12">'11.7-1'!$AH$14:$AH$23</definedName>
    <definedName name="ͶS_adj_Inv" localSheetId="12">'11.7-1'!$X$33:$AG$42</definedName>
    <definedName name="θ" localSheetId="32">'16.11-1'!#REF!</definedName>
    <definedName name="θ">#REF!</definedName>
    <definedName name="Λ" localSheetId="9">'11.4-1'!$G$15:$H$16</definedName>
    <definedName name="λ" localSheetId="30">'16.8-1'!$T$13</definedName>
    <definedName name="φ" localSheetId="32">'16.11-1'!#REF!</definedName>
    <definedName name="φ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39" l="1"/>
  <c r="D32" i="39"/>
  <c r="C32" i="39"/>
  <c r="B32" i="39"/>
  <c r="E31" i="39"/>
  <c r="D31" i="39"/>
  <c r="C31" i="39"/>
  <c r="B31" i="39"/>
  <c r="X30" i="39"/>
  <c r="E30" i="39"/>
  <c r="D30" i="39"/>
  <c r="C30" i="39"/>
  <c r="B30" i="39"/>
  <c r="E29" i="39"/>
  <c r="D29" i="39"/>
  <c r="C29" i="39"/>
  <c r="B29" i="39"/>
  <c r="G9" i="39" a="1"/>
  <c r="J12" i="39" s="1"/>
  <c r="A6" i="39"/>
  <c r="A7" i="39" s="1"/>
  <c r="A8" i="39" s="1"/>
  <c r="A9" i="39" s="1"/>
  <c r="A10" i="39" s="1"/>
  <c r="A11" i="39" s="1"/>
  <c r="A12" i="39" s="1"/>
  <c r="A13" i="39" s="1"/>
  <c r="A14" i="39" s="1"/>
  <c r="A15" i="39" s="1"/>
  <c r="A16" i="39" s="1"/>
  <c r="A17" i="39" s="1"/>
  <c r="A18" i="39" s="1"/>
  <c r="A19" i="39" s="1"/>
  <c r="A20" i="39" s="1"/>
  <c r="A21" i="39" s="1"/>
  <c r="A22" i="39" s="1"/>
  <c r="A23" i="39" s="1"/>
  <c r="A24" i="39" s="1"/>
  <c r="A25" i="39" s="1"/>
  <c r="A26" i="39" s="1"/>
  <c r="A27" i="39" s="1"/>
  <c r="W5" i="39"/>
  <c r="X5" i="39" s="1"/>
  <c r="Y4" i="39"/>
  <c r="X4" i="39"/>
  <c r="W4" i="39"/>
  <c r="A4" i="39"/>
  <c r="A5" i="39" s="1"/>
  <c r="Y3" i="39"/>
  <c r="X3" i="39"/>
  <c r="H6" i="39"/>
  <c r="G6" i="39"/>
  <c r="J5" i="39"/>
  <c r="H5" i="39"/>
  <c r="G5" i="39"/>
  <c r="H4" i="39"/>
  <c r="G4" i="39"/>
  <c r="J3" i="39"/>
  <c r="H3" i="39"/>
  <c r="G3" i="39"/>
  <c r="G3" i="39" a="1"/>
  <c r="J6" i="39" s="1"/>
  <c r="J9" i="39" l="1"/>
  <c r="G10" i="39"/>
  <c r="I9" i="39"/>
  <c r="I11" i="39"/>
  <c r="J11" i="39"/>
  <c r="G12" i="39"/>
  <c r="G11" i="39"/>
  <c r="G9" i="39"/>
  <c r="K34" i="39" s="1" a="1"/>
  <c r="N34" i="39" s="1"/>
  <c r="W6" i="39"/>
  <c r="Y5" i="39"/>
  <c r="I3" i="39"/>
  <c r="I5" i="39"/>
  <c r="H9" i="39"/>
  <c r="H11" i="39"/>
  <c r="I4" i="39"/>
  <c r="I6" i="39"/>
  <c r="H10" i="39"/>
  <c r="H12" i="39"/>
  <c r="J4" i="39"/>
  <c r="I10" i="39"/>
  <c r="I12" i="39"/>
  <c r="J10" i="39"/>
  <c r="L34" i="39" l="1"/>
  <c r="K34" i="39"/>
  <c r="O34" i="39" s="1"/>
  <c r="K3" i="39" a="1"/>
  <c r="M18" i="39" s="1"/>
  <c r="M34" i="39"/>
  <c r="X6" i="39"/>
  <c r="Y6" i="39"/>
  <c r="W7" i="39"/>
  <c r="N7" i="39" l="1"/>
  <c r="N16" i="39"/>
  <c r="K17" i="39"/>
  <c r="O17" i="39" s="1"/>
  <c r="N5" i="39"/>
  <c r="M17" i="39"/>
  <c r="M21" i="39"/>
  <c r="K21" i="39"/>
  <c r="O21" i="39" s="1"/>
  <c r="N6" i="39"/>
  <c r="L5" i="39"/>
  <c r="L21" i="39"/>
  <c r="L12" i="39"/>
  <c r="M4" i="39"/>
  <c r="M20" i="39"/>
  <c r="K14" i="39"/>
  <c r="O14" i="39" s="1"/>
  <c r="N19" i="39"/>
  <c r="K20" i="39"/>
  <c r="O20" i="39" s="1"/>
  <c r="K12" i="39"/>
  <c r="O12" i="39" s="1"/>
  <c r="N23" i="39"/>
  <c r="N27" i="39"/>
  <c r="M27" i="39"/>
  <c r="N9" i="39"/>
  <c r="L7" i="39"/>
  <c r="L23" i="39"/>
  <c r="L14" i="39"/>
  <c r="M6" i="39"/>
  <c r="M22" i="39"/>
  <c r="M5" i="39"/>
  <c r="N20" i="39"/>
  <c r="M23" i="39"/>
  <c r="K5" i="39"/>
  <c r="O5" i="39" s="1"/>
  <c r="K9" i="39"/>
  <c r="O9" i="39" s="1"/>
  <c r="L9" i="39"/>
  <c r="M8" i="39"/>
  <c r="K26" i="39"/>
  <c r="O26" i="39" s="1"/>
  <c r="N18" i="39"/>
  <c r="M9" i="39"/>
  <c r="K16" i="39"/>
  <c r="O16" i="39" s="1"/>
  <c r="L27" i="39"/>
  <c r="L18" i="39"/>
  <c r="M26" i="39"/>
  <c r="K4" i="39"/>
  <c r="O4" i="39" s="1"/>
  <c r="N21" i="39"/>
  <c r="N14" i="39"/>
  <c r="N12" i="39"/>
  <c r="M19" i="39"/>
  <c r="L13" i="39"/>
  <c r="L4" i="39"/>
  <c r="M12" i="39"/>
  <c r="K7" i="39"/>
  <c r="O7" i="39" s="1"/>
  <c r="M7" i="39"/>
  <c r="N11" i="39"/>
  <c r="K25" i="39"/>
  <c r="O25" i="39" s="1"/>
  <c r="K24" i="39"/>
  <c r="O24" i="39" s="1"/>
  <c r="M25" i="39"/>
  <c r="K19" i="39"/>
  <c r="O19" i="39" s="1"/>
  <c r="N22" i="39"/>
  <c r="L15" i="39"/>
  <c r="L6" i="39"/>
  <c r="L22" i="39"/>
  <c r="M14" i="39"/>
  <c r="K23" i="39"/>
  <c r="O23" i="39" s="1"/>
  <c r="M15" i="39"/>
  <c r="K3" i="39"/>
  <c r="K30" i="39" s="1"/>
  <c r="K13" i="39"/>
  <c r="O13" i="39" s="1"/>
  <c r="L25" i="39"/>
  <c r="L16" i="39"/>
  <c r="M24" i="39"/>
  <c r="K27" i="39"/>
  <c r="O27" i="39" s="1"/>
  <c r="N26" i="39"/>
  <c r="K8" i="39"/>
  <c r="O8" i="39" s="1"/>
  <c r="K6" i="39"/>
  <c r="O6" i="39" s="1"/>
  <c r="L11" i="39"/>
  <c r="M10" i="39"/>
  <c r="N3" i="39"/>
  <c r="N15" i="39"/>
  <c r="L20" i="39"/>
  <c r="K10" i="39"/>
  <c r="O10" i="39" s="1"/>
  <c r="N10" i="39"/>
  <c r="K18" i="39"/>
  <c r="O18" i="39" s="1"/>
  <c r="N4" i="39"/>
  <c r="N8" i="39"/>
  <c r="M11" i="39"/>
  <c r="K22" i="39"/>
  <c r="O22" i="39" s="1"/>
  <c r="N25" i="39"/>
  <c r="L17" i="39"/>
  <c r="L8" i="39"/>
  <c r="L24" i="39"/>
  <c r="M16" i="39"/>
  <c r="M13" i="39"/>
  <c r="N13" i="39"/>
  <c r="N24" i="39"/>
  <c r="K11" i="39"/>
  <c r="O11" i="39" s="1"/>
  <c r="K15" i="39"/>
  <c r="O15" i="39" s="1"/>
  <c r="N17" i="39"/>
  <c r="M3" i="39"/>
  <c r="M29" i="39" s="1"/>
  <c r="L3" i="39"/>
  <c r="L29" i="39" s="1"/>
  <c r="L19" i="39"/>
  <c r="L10" i="39"/>
  <c r="L26" i="39"/>
  <c r="Y7" i="39"/>
  <c r="W8" i="39"/>
  <c r="X7" i="39"/>
  <c r="M32" i="39"/>
  <c r="M31" i="39"/>
  <c r="N32" i="39"/>
  <c r="N31" i="39"/>
  <c r="N29" i="39"/>
  <c r="N30" i="39"/>
  <c r="K32" i="39" l="1"/>
  <c r="O3" i="39"/>
  <c r="P3" i="39" s="1"/>
  <c r="G15" i="39" a="1"/>
  <c r="H17" i="39" s="1"/>
  <c r="K31" i="39"/>
  <c r="L31" i="39"/>
  <c r="K29" i="39"/>
  <c r="M30" i="39"/>
  <c r="L32" i="39"/>
  <c r="L30" i="39"/>
  <c r="W9" i="39"/>
  <c r="X8" i="39"/>
  <c r="Y8" i="39"/>
  <c r="O32" i="39"/>
  <c r="O31" i="39"/>
  <c r="O30" i="39"/>
  <c r="O29" i="39"/>
  <c r="G18" i="39"/>
  <c r="G16" i="39"/>
  <c r="J17" i="39"/>
  <c r="J16" i="39"/>
  <c r="H16" i="39" l="1"/>
  <c r="G15" i="39"/>
  <c r="I16" i="39"/>
  <c r="G17" i="39"/>
  <c r="H18" i="39"/>
  <c r="I15" i="39"/>
  <c r="I18" i="39"/>
  <c r="J15" i="39"/>
  <c r="I17" i="39"/>
  <c r="H15" i="39"/>
  <c r="J18" i="39"/>
  <c r="P34" i="39"/>
  <c r="P7" i="39"/>
  <c r="P15" i="39"/>
  <c r="P14" i="39"/>
  <c r="P24" i="39"/>
  <c r="P17" i="39"/>
  <c r="P20" i="39"/>
  <c r="P8" i="39"/>
  <c r="P22" i="39"/>
  <c r="P11" i="39"/>
  <c r="P10" i="39"/>
  <c r="P26" i="39"/>
  <c r="P19" i="39"/>
  <c r="P16" i="39"/>
  <c r="P25" i="39"/>
  <c r="P6" i="39"/>
  <c r="P12" i="39"/>
  <c r="P9" i="39"/>
  <c r="P27" i="39"/>
  <c r="P18" i="39"/>
  <c r="P21" i="39"/>
  <c r="P5" i="39"/>
  <c r="P13" i="39"/>
  <c r="P23" i="39"/>
  <c r="P4" i="39"/>
  <c r="P30" i="39"/>
  <c r="P32" i="39"/>
  <c r="P31" i="39"/>
  <c r="P29" i="39"/>
  <c r="T3" i="39"/>
  <c r="V3" i="39"/>
  <c r="U3" i="39"/>
  <c r="Q3" i="39"/>
  <c r="S3" i="39"/>
  <c r="R3" i="39"/>
  <c r="W10" i="39"/>
  <c r="X9" i="39"/>
  <c r="Y9" i="39"/>
  <c r="U23" i="39" l="1"/>
  <c r="V23" i="39"/>
  <c r="Q23" i="39"/>
  <c r="T23" i="39"/>
  <c r="S23" i="39"/>
  <c r="R23" i="39"/>
  <c r="T6" i="39"/>
  <c r="V6" i="39"/>
  <c r="Q6" i="39"/>
  <c r="R6" i="39"/>
  <c r="U6" i="39"/>
  <c r="S6" i="39"/>
  <c r="S8" i="39"/>
  <c r="V8" i="39"/>
  <c r="Q8" i="39"/>
  <c r="U8" i="39"/>
  <c r="R8" i="39"/>
  <c r="T8" i="39"/>
  <c r="Q20" i="39"/>
  <c r="T20" i="39"/>
  <c r="V20" i="39"/>
  <c r="R20" i="39"/>
  <c r="U20" i="39"/>
  <c r="S20" i="39"/>
  <c r="S25" i="39"/>
  <c r="R25" i="39"/>
  <c r="T25" i="39"/>
  <c r="V25" i="39"/>
  <c r="U25" i="39"/>
  <c r="Q25" i="39"/>
  <c r="R5" i="39"/>
  <c r="T5" i="39"/>
  <c r="V5" i="39"/>
  <c r="Q5" i="39"/>
  <c r="S5" i="39"/>
  <c r="U5" i="39"/>
  <c r="T17" i="39"/>
  <c r="R17" i="39"/>
  <c r="U17" i="39"/>
  <c r="V17" i="39"/>
  <c r="S17" i="39"/>
  <c r="Q17" i="39"/>
  <c r="Q21" i="39"/>
  <c r="T21" i="39"/>
  <c r="V21" i="39"/>
  <c r="U21" i="39"/>
  <c r="S21" i="39"/>
  <c r="R21" i="39"/>
  <c r="U24" i="39"/>
  <c r="Q24" i="39"/>
  <c r="S24" i="39"/>
  <c r="T24" i="39"/>
  <c r="R24" i="39"/>
  <c r="V24" i="39"/>
  <c r="S16" i="39"/>
  <c r="R16" i="39"/>
  <c r="T16" i="39"/>
  <c r="Q16" i="39"/>
  <c r="U16" i="39"/>
  <c r="V16" i="39"/>
  <c r="Q19" i="39"/>
  <c r="U19" i="39"/>
  <c r="V19" i="39"/>
  <c r="T19" i="39"/>
  <c r="S19" i="39"/>
  <c r="R19" i="39"/>
  <c r="X10" i="39"/>
  <c r="Y10" i="39"/>
  <c r="W11" i="39"/>
  <c r="Z11" i="39" s="1"/>
  <c r="T18" i="39"/>
  <c r="U18" i="39"/>
  <c r="Q18" i="39"/>
  <c r="S18" i="39"/>
  <c r="R18" i="39"/>
  <c r="V18" i="39"/>
  <c r="R27" i="39"/>
  <c r="Q27" i="39"/>
  <c r="S27" i="39"/>
  <c r="V27" i="39"/>
  <c r="U27" i="39"/>
  <c r="T27" i="39"/>
  <c r="Q10" i="39"/>
  <c r="R10" i="39"/>
  <c r="V10" i="39"/>
  <c r="U10" i="39"/>
  <c r="S10" i="39"/>
  <c r="T10" i="39"/>
  <c r="Q15" i="39"/>
  <c r="R15" i="39"/>
  <c r="S15" i="39"/>
  <c r="V15" i="39"/>
  <c r="U15" i="39"/>
  <c r="T15" i="39"/>
  <c r="S26" i="39"/>
  <c r="V26" i="39"/>
  <c r="Q26" i="39"/>
  <c r="T26" i="39"/>
  <c r="U26" i="39"/>
  <c r="R26" i="39"/>
  <c r="Q9" i="39"/>
  <c r="T9" i="39"/>
  <c r="R9" i="39"/>
  <c r="V9" i="39"/>
  <c r="U9" i="39"/>
  <c r="S9" i="39"/>
  <c r="R11" i="39"/>
  <c r="V11" i="39"/>
  <c r="U11" i="39"/>
  <c r="T11" i="39"/>
  <c r="Q11" i="39"/>
  <c r="S11" i="39"/>
  <c r="V7" i="39"/>
  <c r="Q7" i="39"/>
  <c r="R7" i="39"/>
  <c r="S7" i="39"/>
  <c r="U7" i="39"/>
  <c r="T7" i="39"/>
  <c r="S13" i="39"/>
  <c r="V13" i="39"/>
  <c r="Q13" i="39"/>
  <c r="U13" i="39"/>
  <c r="T13" i="39"/>
  <c r="R13" i="39"/>
  <c r="Q14" i="39"/>
  <c r="U14" i="39"/>
  <c r="T14" i="39"/>
  <c r="S14" i="39"/>
  <c r="R14" i="39"/>
  <c r="V14" i="39"/>
  <c r="V4" i="39"/>
  <c r="S4" i="39"/>
  <c r="U4" i="39"/>
  <c r="R4" i="39"/>
  <c r="Q4" i="39"/>
  <c r="T4" i="39"/>
  <c r="V12" i="39"/>
  <c r="R12" i="39"/>
  <c r="S12" i="39"/>
  <c r="Q12" i="39"/>
  <c r="U12" i="39"/>
  <c r="T12" i="39"/>
  <c r="R22" i="39"/>
  <c r="Q22" i="39"/>
  <c r="S22" i="39"/>
  <c r="U22" i="39"/>
  <c r="V22" i="39"/>
  <c r="T22" i="39"/>
  <c r="Z7" i="39"/>
  <c r="Z3" i="39"/>
  <c r="AA8" i="39"/>
  <c r="AA4" i="39"/>
  <c r="Z10" i="39"/>
  <c r="AA6" i="39"/>
  <c r="Z6" i="39"/>
  <c r="AA5" i="39"/>
  <c r="Z5" i="39"/>
  <c r="Z4" i="39"/>
  <c r="AA9" i="39"/>
  <c r="AA3" i="39"/>
  <c r="Z9" i="39"/>
  <c r="Z8" i="39"/>
  <c r="AA10" i="39"/>
  <c r="AA7" i="39"/>
  <c r="U31" i="39"/>
  <c r="R31" i="39"/>
  <c r="V31" i="39"/>
  <c r="T31" i="39"/>
  <c r="Q31" i="39"/>
  <c r="S31" i="39"/>
  <c r="AA11" i="39" l="1"/>
  <c r="Y11" i="39"/>
  <c r="X11" i="39"/>
  <c r="W12" i="39"/>
  <c r="Y12" i="39" l="1"/>
  <c r="W13" i="39"/>
  <c r="X12" i="39"/>
  <c r="Z12" i="39"/>
  <c r="AA12" i="39"/>
  <c r="W14" i="39" l="1"/>
  <c r="X13" i="39"/>
  <c r="Y13" i="39"/>
  <c r="Z13" i="39"/>
  <c r="AA13" i="39"/>
  <c r="X14" i="39" l="1"/>
  <c r="W15" i="39"/>
  <c r="Y14" i="39"/>
  <c r="AA14" i="39"/>
  <c r="Z14" i="39"/>
  <c r="Y15" i="39" l="1"/>
  <c r="X15" i="39"/>
  <c r="W16" i="39"/>
  <c r="AA15" i="39"/>
  <c r="Z15" i="39"/>
  <c r="Y16" i="39" l="1"/>
  <c r="W17" i="39"/>
  <c r="X16" i="39"/>
  <c r="Z16" i="39"/>
  <c r="AA16" i="39"/>
  <c r="W18" i="39" l="1"/>
  <c r="Y17" i="39"/>
  <c r="X17" i="39"/>
  <c r="Z17" i="39"/>
  <c r="AA17" i="39"/>
  <c r="W19" i="39" l="1"/>
  <c r="Y18" i="39"/>
  <c r="X18" i="39"/>
  <c r="Z18" i="39"/>
  <c r="AA18" i="39"/>
  <c r="Y19" i="39" l="1"/>
  <c r="X19" i="39"/>
  <c r="W20" i="39"/>
  <c r="Z19" i="39"/>
  <c r="AA19" i="39"/>
  <c r="Y20" i="39" l="1"/>
  <c r="W21" i="39"/>
  <c r="X20" i="39"/>
  <c r="Z20" i="39"/>
  <c r="AA20" i="39"/>
  <c r="W22" i="39" l="1"/>
  <c r="Y21" i="39"/>
  <c r="X21" i="39"/>
  <c r="Z21" i="39"/>
  <c r="AA21" i="39"/>
  <c r="W23" i="39" l="1"/>
  <c r="Y22" i="39"/>
  <c r="X22" i="39"/>
  <c r="AA22" i="39"/>
  <c r="Z22" i="39"/>
  <c r="Y23" i="39" l="1"/>
  <c r="X23" i="39"/>
  <c r="W24" i="39"/>
  <c r="Z23" i="39"/>
  <c r="AA23" i="39"/>
  <c r="Y24" i="39" l="1"/>
  <c r="W25" i="39"/>
  <c r="X24" i="39"/>
  <c r="AA24" i="39"/>
  <c r="Z24" i="39"/>
  <c r="W26" i="39" l="1"/>
  <c r="Y25" i="39"/>
  <c r="X25" i="39"/>
  <c r="Z25" i="39"/>
  <c r="AA25" i="39"/>
  <c r="W27" i="39" l="1"/>
  <c r="Y26" i="39"/>
  <c r="X26" i="39"/>
  <c r="AA26" i="39"/>
  <c r="Z26" i="39"/>
  <c r="Y27" i="39" l="1"/>
  <c r="X27" i="39"/>
  <c r="AA27" i="39"/>
  <c r="Z27" i="39"/>
  <c r="P21" i="38" l="1"/>
  <c r="K21" i="38" s="1"/>
  <c r="C21" i="38" a="1"/>
  <c r="E23" i="38" s="1"/>
  <c r="K20" i="38"/>
  <c r="P19" i="38"/>
  <c r="N17" i="38"/>
  <c r="M17" i="38"/>
  <c r="L17" i="38"/>
  <c r="F17" i="38" a="1"/>
  <c r="F19" i="38" s="1"/>
  <c r="C19" i="38"/>
  <c r="E18" i="38"/>
  <c r="C17" i="38" a="1"/>
  <c r="D19" i="38" s="1"/>
  <c r="B7" i="38"/>
  <c r="B8" i="38" s="1"/>
  <c r="B9" i="38" s="1"/>
  <c r="B10" i="38" s="1"/>
  <c r="B11" i="38" s="1"/>
  <c r="B12" i="38" s="1"/>
  <c r="B13" i="38" s="1"/>
  <c r="B14" i="38" s="1"/>
  <c r="B15" i="38" s="1"/>
  <c r="B6" i="38"/>
  <c r="E22" i="38" l="1"/>
  <c r="E19" i="38"/>
  <c r="C23" i="38"/>
  <c r="E17" i="38"/>
  <c r="D21" i="38"/>
  <c r="D22" i="38"/>
  <c r="C17" i="38"/>
  <c r="F17" i="38"/>
  <c r="J22" i="38"/>
  <c r="F18" i="38"/>
  <c r="K22" i="38"/>
  <c r="C18" i="38"/>
  <c r="D18" i="38"/>
  <c r="J17" i="38"/>
  <c r="C22" i="38"/>
  <c r="D17" i="38"/>
  <c r="E21" i="38"/>
  <c r="D23" i="38"/>
  <c r="C21" i="38"/>
  <c r="F21" i="38" l="1" a="1"/>
  <c r="L22" i="38"/>
  <c r="F23" i="38"/>
  <c r="F21" i="38"/>
  <c r="F22" i="38"/>
  <c r="I14" i="38" a="1"/>
  <c r="I14" i="38" s="1"/>
  <c r="I6" i="38" a="1"/>
  <c r="I6" i="38" s="1"/>
  <c r="I12" i="38" a="1"/>
  <c r="I12" i="38" s="1"/>
  <c r="I15" i="38" a="1"/>
  <c r="I15" i="38" s="1"/>
  <c r="I13" i="38" a="1"/>
  <c r="I13" i="38" s="1"/>
  <c r="I9" i="38" a="1"/>
  <c r="I9" i="38" s="1"/>
  <c r="I10" i="38" a="1"/>
  <c r="I10" i="38" s="1"/>
  <c r="I5" i="38" a="1"/>
  <c r="I5" i="38" s="1"/>
  <c r="I8" i="38" a="1"/>
  <c r="I8" i="38" s="1"/>
  <c r="I11" i="38" a="1"/>
  <c r="I11" i="38" s="1"/>
  <c r="I7" i="38" a="1"/>
  <c r="I7" i="38" s="1"/>
  <c r="P20" i="38" l="1"/>
  <c r="G5" i="38" a="1"/>
  <c r="O17" i="38" a="1"/>
  <c r="K17" i="38" l="1"/>
  <c r="I17" i="38"/>
  <c r="O17" i="38"/>
  <c r="Q17" i="38"/>
  <c r="P17" i="38"/>
  <c r="G14" i="38"/>
  <c r="H14" i="38" s="1"/>
  <c r="G6" i="38"/>
  <c r="H6" i="38" s="1"/>
  <c r="G13" i="38"/>
  <c r="H13" i="38" s="1"/>
  <c r="G5" i="38"/>
  <c r="G12" i="38"/>
  <c r="H12" i="38" s="1"/>
  <c r="G11" i="38"/>
  <c r="H11" i="38" s="1"/>
  <c r="G8" i="38"/>
  <c r="H8" i="38" s="1"/>
  <c r="G15" i="38"/>
  <c r="H15" i="38" s="1"/>
  <c r="G7" i="38"/>
  <c r="H7" i="38" s="1"/>
  <c r="G10" i="38"/>
  <c r="H10" i="38" s="1"/>
  <c r="G9" i="38"/>
  <c r="H9" i="38" s="1"/>
  <c r="J21" i="38" l="1"/>
  <c r="L21" i="38" s="1"/>
  <c r="J13" i="38" s="1"/>
  <c r="H5" i="38"/>
  <c r="J20" i="38"/>
  <c r="J8" i="38" l="1"/>
  <c r="K6" i="38"/>
  <c r="J6" i="38"/>
  <c r="K8" i="38"/>
  <c r="J15" i="38"/>
  <c r="L20" i="38"/>
  <c r="M20" i="38" s="1"/>
  <c r="N20" i="38" s="1"/>
  <c r="N22" i="38"/>
  <c r="K5" i="38"/>
  <c r="J5" i="38"/>
  <c r="G22" i="38"/>
  <c r="N21" i="38"/>
  <c r="G23" i="38"/>
  <c r="G21" i="38"/>
  <c r="K15" i="38"/>
  <c r="K13" i="38"/>
  <c r="K12" i="38"/>
  <c r="K14" i="38"/>
  <c r="J9" i="38"/>
  <c r="J12" i="38"/>
  <c r="J14" i="38"/>
  <c r="K9" i="38"/>
  <c r="J11" i="38"/>
  <c r="J7" i="38"/>
  <c r="J10" i="38"/>
  <c r="K11" i="38"/>
  <c r="K7" i="38"/>
  <c r="K10" i="38"/>
  <c r="L7" i="38" l="1" a="1"/>
  <c r="L11" i="38" a="1"/>
  <c r="L9" i="38" a="1"/>
  <c r="L14" i="38" a="1"/>
  <c r="L6" i="38" a="1"/>
  <c r="L10" i="38" a="1"/>
  <c r="L12" i="38" a="1"/>
  <c r="L13" i="38" a="1"/>
  <c r="L5" i="38" a="1"/>
  <c r="L15" i="38" a="1"/>
  <c r="L8" i="38" a="1"/>
  <c r="N6" i="38" l="1"/>
  <c r="Q6" i="38" s="1"/>
  <c r="M6" i="38"/>
  <c r="P6" i="38" s="1"/>
  <c r="L6" i="38"/>
  <c r="O6" i="38" s="1"/>
  <c r="N14" i="38"/>
  <c r="Q14" i="38" s="1"/>
  <c r="M14" i="38"/>
  <c r="P14" i="38" s="1"/>
  <c r="L14" i="38"/>
  <c r="O14" i="38" s="1"/>
  <c r="N9" i="38"/>
  <c r="Q9" i="38" s="1"/>
  <c r="M9" i="38"/>
  <c r="P9" i="38" s="1"/>
  <c r="L9" i="38"/>
  <c r="O9" i="38" s="1"/>
  <c r="L13" i="38"/>
  <c r="O13" i="38" s="1"/>
  <c r="N13" i="38"/>
  <c r="Q13" i="38" s="1"/>
  <c r="M13" i="38"/>
  <c r="P13" i="38" s="1"/>
  <c r="M12" i="38"/>
  <c r="P12" i="38" s="1"/>
  <c r="L12" i="38"/>
  <c r="O12" i="38" s="1"/>
  <c r="N12" i="38"/>
  <c r="Q12" i="38" s="1"/>
  <c r="M10" i="38"/>
  <c r="P10" i="38" s="1"/>
  <c r="L10" i="38"/>
  <c r="O10" i="38" s="1"/>
  <c r="N10" i="38"/>
  <c r="Q10" i="38" s="1"/>
  <c r="M8" i="38"/>
  <c r="P8" i="38" s="1"/>
  <c r="L8" i="38"/>
  <c r="O8" i="38" s="1"/>
  <c r="N8" i="38"/>
  <c r="Q8" i="38" s="1"/>
  <c r="M15" i="38"/>
  <c r="P15" i="38" s="1"/>
  <c r="L15" i="38"/>
  <c r="O15" i="38" s="1"/>
  <c r="N15" i="38"/>
  <c r="Q15" i="38" s="1"/>
  <c r="N11" i="38"/>
  <c r="Q11" i="38" s="1"/>
  <c r="M11" i="38"/>
  <c r="P11" i="38" s="1"/>
  <c r="L11" i="38"/>
  <c r="O11" i="38" s="1"/>
  <c r="L5" i="38"/>
  <c r="O5" i="38" s="1"/>
  <c r="N5" i="38"/>
  <c r="Q5" i="38" s="1"/>
  <c r="M5" i="38"/>
  <c r="P5" i="38" s="1"/>
  <c r="N7" i="38"/>
  <c r="Q7" i="38" s="1"/>
  <c r="L7" i="38"/>
  <c r="O7" i="38" s="1"/>
  <c r="M7" i="38"/>
  <c r="P7" i="38" s="1"/>
  <c r="Z55" i="36" l="1"/>
  <c r="X55" i="36"/>
  <c r="U55" i="36"/>
  <c r="Z54" i="36"/>
  <c r="X54" i="36"/>
  <c r="U54" i="36"/>
  <c r="Z53" i="36"/>
  <c r="X53" i="36"/>
  <c r="U53" i="36"/>
  <c r="Z52" i="36"/>
  <c r="X52" i="36"/>
  <c r="U52" i="36"/>
  <c r="Z51" i="36"/>
  <c r="X51" i="36"/>
  <c r="U51" i="36"/>
  <c r="Z50" i="36"/>
  <c r="X50" i="36"/>
  <c r="U50" i="36"/>
  <c r="Z49" i="36"/>
  <c r="X49" i="36"/>
  <c r="U49" i="36"/>
  <c r="Z48" i="36"/>
  <c r="X48" i="36"/>
  <c r="U48" i="36"/>
  <c r="Z47" i="36"/>
  <c r="X47" i="36"/>
  <c r="U47" i="36"/>
  <c r="Z46" i="36"/>
  <c r="X46" i="36"/>
  <c r="U46" i="36"/>
  <c r="Z45" i="36"/>
  <c r="X45" i="36"/>
  <c r="U45" i="36"/>
  <c r="Z44" i="36"/>
  <c r="X44" i="36"/>
  <c r="U44" i="36"/>
  <c r="Z43" i="36"/>
  <c r="X43" i="36"/>
  <c r="U43" i="36"/>
  <c r="Z42" i="36"/>
  <c r="X42" i="36"/>
  <c r="U42" i="36"/>
  <c r="Z41" i="36"/>
  <c r="X41" i="36"/>
  <c r="U41" i="36"/>
  <c r="Z40" i="36"/>
  <c r="X40" i="36"/>
  <c r="U40" i="36"/>
  <c r="Z39" i="36"/>
  <c r="X39" i="36"/>
  <c r="U39" i="36"/>
  <c r="Z38" i="36"/>
  <c r="X38" i="36"/>
  <c r="U38" i="36"/>
  <c r="Z37" i="36"/>
  <c r="X37" i="36"/>
  <c r="U37" i="36"/>
  <c r="Z36" i="36"/>
  <c r="X36" i="36"/>
  <c r="U36" i="36"/>
  <c r="Z35" i="36"/>
  <c r="X35" i="36"/>
  <c r="U35" i="36"/>
  <c r="Z34" i="36"/>
  <c r="X34" i="36"/>
  <c r="U34" i="36"/>
  <c r="Z33" i="36"/>
  <c r="X33" i="36"/>
  <c r="U33" i="36"/>
  <c r="Z32" i="36"/>
  <c r="X32" i="36"/>
  <c r="U32" i="36"/>
  <c r="Z31" i="36"/>
  <c r="X31" i="36"/>
  <c r="U31" i="36"/>
  <c r="Z30" i="36"/>
  <c r="X30" i="36"/>
  <c r="U30" i="36"/>
  <c r="Z29" i="36"/>
  <c r="X29" i="36"/>
  <c r="U29" i="36"/>
  <c r="Z28" i="36"/>
  <c r="X28" i="36"/>
  <c r="U28" i="36"/>
  <c r="Z27" i="36"/>
  <c r="X27" i="36"/>
  <c r="U27" i="36"/>
  <c r="Z26" i="36"/>
  <c r="X26" i="36"/>
  <c r="U26" i="36"/>
  <c r="Z25" i="36"/>
  <c r="X25" i="36"/>
  <c r="U25" i="36"/>
  <c r="Z24" i="36"/>
  <c r="X24" i="36"/>
  <c r="U24" i="36"/>
  <c r="O24" i="36"/>
  <c r="AD23" i="36"/>
  <c r="Z23" i="36"/>
  <c r="X23" i="36"/>
  <c r="U23" i="36"/>
  <c r="O23" i="36"/>
  <c r="Z22" i="36"/>
  <c r="X22" i="36"/>
  <c r="U22" i="36"/>
  <c r="O22" i="36"/>
  <c r="L22" i="36" a="1"/>
  <c r="L25" i="36" s="1"/>
  <c r="Z21" i="36"/>
  <c r="X21" i="36"/>
  <c r="U21" i="36"/>
  <c r="Z20" i="36"/>
  <c r="X20" i="36"/>
  <c r="U20" i="36"/>
  <c r="L20" i="36"/>
  <c r="P22" i="36" s="1"/>
  <c r="Z19" i="36"/>
  <c r="X19" i="36"/>
  <c r="U19" i="36"/>
  <c r="Z18" i="36"/>
  <c r="X18" i="36"/>
  <c r="U18" i="36"/>
  <c r="Z17" i="36"/>
  <c r="X17" i="36"/>
  <c r="U17" i="36"/>
  <c r="Z16" i="36"/>
  <c r="X16" i="36"/>
  <c r="U16" i="36"/>
  <c r="Z15" i="36"/>
  <c r="X15" i="36"/>
  <c r="U15" i="36"/>
  <c r="Z14" i="36"/>
  <c r="X14" i="36"/>
  <c r="U14" i="36"/>
  <c r="Z13" i="36"/>
  <c r="X13" i="36"/>
  <c r="U13" i="36"/>
  <c r="Z12" i="36"/>
  <c r="X12" i="36"/>
  <c r="U12" i="36"/>
  <c r="L12" i="36" a="1"/>
  <c r="S18" i="36" s="1"/>
  <c r="Z11" i="36"/>
  <c r="X11" i="36"/>
  <c r="U11" i="36"/>
  <c r="T11" i="36"/>
  <c r="T12" i="36" s="1"/>
  <c r="T13" i="36" s="1"/>
  <c r="T14" i="36" s="1"/>
  <c r="T15" i="36" s="1"/>
  <c r="T16" i="36" s="1"/>
  <c r="T17" i="36" s="1"/>
  <c r="T18" i="36" s="1"/>
  <c r="T19" i="36" s="1"/>
  <c r="T20" i="36" s="1"/>
  <c r="T21" i="36" s="1"/>
  <c r="T22" i="36" s="1"/>
  <c r="T23" i="36" s="1"/>
  <c r="T24" i="36" s="1"/>
  <c r="T25" i="36" s="1"/>
  <c r="T26" i="36" s="1"/>
  <c r="T27" i="36" s="1"/>
  <c r="T28" i="36" s="1"/>
  <c r="T29" i="36" s="1"/>
  <c r="T30" i="36" s="1"/>
  <c r="T31" i="36" s="1"/>
  <c r="T32" i="36" s="1"/>
  <c r="T33" i="36" s="1"/>
  <c r="T34" i="36" s="1"/>
  <c r="T35" i="36" s="1"/>
  <c r="T36" i="36" s="1"/>
  <c r="T37" i="36" s="1"/>
  <c r="T38" i="36" s="1"/>
  <c r="T39" i="36" s="1"/>
  <c r="T40" i="36" s="1"/>
  <c r="T41" i="36" s="1"/>
  <c r="T42" i="36" s="1"/>
  <c r="T43" i="36" s="1"/>
  <c r="T44" i="36" s="1"/>
  <c r="T45" i="36" s="1"/>
  <c r="T46" i="36" s="1"/>
  <c r="T47" i="36" s="1"/>
  <c r="T48" i="36" s="1"/>
  <c r="T49" i="36" s="1"/>
  <c r="T50" i="36" s="1"/>
  <c r="T51" i="36" s="1"/>
  <c r="T52" i="36" s="1"/>
  <c r="T53" i="36" s="1"/>
  <c r="T54" i="36" s="1"/>
  <c r="T55" i="36" s="1"/>
  <c r="Z10" i="36"/>
  <c r="X10" i="36"/>
  <c r="U10" i="36"/>
  <c r="Z9" i="36"/>
  <c r="X9" i="36"/>
  <c r="U9" i="36"/>
  <c r="Z8" i="36"/>
  <c r="X8" i="36"/>
  <c r="U8" i="36"/>
  <c r="Z7" i="36"/>
  <c r="X7" i="36"/>
  <c r="U7" i="36"/>
  <c r="Z6" i="36"/>
  <c r="X6" i="36"/>
  <c r="U6" i="36"/>
  <c r="T6" i="36"/>
  <c r="T7" i="36" s="1"/>
  <c r="T8" i="36" s="1"/>
  <c r="T9" i="36" s="1"/>
  <c r="T10" i="36" s="1"/>
  <c r="Z5" i="36"/>
  <c r="X5" i="36"/>
  <c r="U5" i="36"/>
  <c r="T3" i="36"/>
  <c r="L3" i="36" a="1"/>
  <c r="L10" i="36" s="1"/>
  <c r="L13" i="36" l="1"/>
  <c r="Q4" i="36"/>
  <c r="Q8" i="36"/>
  <c r="M3" i="36"/>
  <c r="M5" i="36"/>
  <c r="M7" i="36"/>
  <c r="M9" i="36"/>
  <c r="P3" i="36"/>
  <c r="P5" i="36"/>
  <c r="P7" i="36"/>
  <c r="P9" i="36"/>
  <c r="S13" i="36"/>
  <c r="Q3" i="36"/>
  <c r="Q5" i="36"/>
  <c r="Q7" i="36"/>
  <c r="Q9" i="36"/>
  <c r="Q6" i="36"/>
  <c r="Q10" i="36"/>
  <c r="O3" i="36"/>
  <c r="O5" i="36"/>
  <c r="O7" i="36"/>
  <c r="O9" i="36"/>
  <c r="L17" i="36"/>
  <c r="M4" i="36"/>
  <c r="M6" i="36"/>
  <c r="M8" i="36"/>
  <c r="M10" i="36"/>
  <c r="S17" i="36"/>
  <c r="O4" i="36"/>
  <c r="O6" i="36"/>
  <c r="O8" i="36"/>
  <c r="O10" i="36"/>
  <c r="L28" i="36"/>
  <c r="P4" i="36"/>
  <c r="P6" i="36"/>
  <c r="P8" i="36"/>
  <c r="P10" i="36"/>
  <c r="S24" i="36"/>
  <c r="S14" i="36"/>
  <c r="P19" i="36"/>
  <c r="P18" i="36"/>
  <c r="P17" i="36"/>
  <c r="P16" i="36"/>
  <c r="P15" i="36"/>
  <c r="P14" i="36"/>
  <c r="P13" i="36"/>
  <c r="P12" i="36"/>
  <c r="M17" i="36"/>
  <c r="M14" i="36"/>
  <c r="O19" i="36"/>
  <c r="O18" i="36"/>
  <c r="O17" i="36"/>
  <c r="O16" i="36"/>
  <c r="O15" i="36"/>
  <c r="O14" i="36"/>
  <c r="O13" i="36"/>
  <c r="O12" i="36"/>
  <c r="M19" i="36"/>
  <c r="M18" i="36"/>
  <c r="M16" i="36"/>
  <c r="M12" i="36"/>
  <c r="N19" i="36"/>
  <c r="N18" i="36"/>
  <c r="N17" i="36"/>
  <c r="N16" i="36"/>
  <c r="N15" i="36"/>
  <c r="N14" i="36"/>
  <c r="N13" i="36"/>
  <c r="N12" i="36"/>
  <c r="M15" i="36"/>
  <c r="M13" i="36"/>
  <c r="R19" i="36"/>
  <c r="R18" i="36"/>
  <c r="R17" i="36"/>
  <c r="R16" i="36"/>
  <c r="R15" i="36"/>
  <c r="R14" i="36"/>
  <c r="R13" i="36"/>
  <c r="R12" i="36"/>
  <c r="Q18" i="36"/>
  <c r="Q17" i="36"/>
  <c r="Q16" i="36"/>
  <c r="Q15" i="36"/>
  <c r="Q14" i="36"/>
  <c r="Q12" i="36"/>
  <c r="Q19" i="36"/>
  <c r="Q13" i="36"/>
  <c r="S15" i="36"/>
  <c r="S19" i="36"/>
  <c r="L15" i="36"/>
  <c r="L12" i="36"/>
  <c r="L16" i="36"/>
  <c r="L14" i="36"/>
  <c r="L18" i="36"/>
  <c r="L19" i="36"/>
  <c r="S12" i="36"/>
  <c r="S16" i="36"/>
  <c r="L26" i="36"/>
  <c r="N3" i="36"/>
  <c r="N4" i="36"/>
  <c r="N5" i="36"/>
  <c r="N6" i="36"/>
  <c r="N7" i="36"/>
  <c r="N8" i="36"/>
  <c r="N9" i="36"/>
  <c r="N10" i="36"/>
  <c r="L27" i="36"/>
  <c r="R3" i="36"/>
  <c r="R4" i="36"/>
  <c r="R5" i="36"/>
  <c r="R6" i="36"/>
  <c r="R7" i="36"/>
  <c r="R8" i="36"/>
  <c r="R9" i="36"/>
  <c r="R10" i="36"/>
  <c r="L23" i="36"/>
  <c r="L29" i="36"/>
  <c r="L22" i="36"/>
  <c r="S3" i="36"/>
  <c r="S4" i="36"/>
  <c r="S5" i="36"/>
  <c r="S6" i="36"/>
  <c r="S7" i="36"/>
  <c r="S8" i="36"/>
  <c r="S9" i="36"/>
  <c r="S10" i="36"/>
  <c r="L24" i="36"/>
  <c r="Q22" i="36"/>
  <c r="L3" i="36"/>
  <c r="L4" i="36"/>
  <c r="L5" i="36"/>
  <c r="L6" i="36"/>
  <c r="L7" i="36"/>
  <c r="L8" i="36"/>
  <c r="L9" i="36"/>
  <c r="P24" i="36" l="1"/>
  <c r="P23" i="36"/>
  <c r="Q23" i="36" l="1"/>
  <c r="AD22" i="36"/>
  <c r="Y5" i="36" l="1"/>
  <c r="W3" i="36"/>
  <c r="W6" i="36" s="1"/>
  <c r="W7" i="36" s="1"/>
  <c r="W8" i="36" s="1"/>
  <c r="W9" i="36" s="1"/>
  <c r="W10" i="36" s="1"/>
  <c r="W11" i="36" s="1"/>
  <c r="W12" i="36" s="1"/>
  <c r="W13" i="36" s="1"/>
  <c r="W14" i="36" s="1"/>
  <c r="W15" i="36" s="1"/>
  <c r="W16" i="36" s="1"/>
  <c r="W17" i="36" s="1"/>
  <c r="W18" i="36" s="1"/>
  <c r="W19" i="36" s="1"/>
  <c r="W20" i="36" s="1"/>
  <c r="W21" i="36" s="1"/>
  <c r="W22" i="36" s="1"/>
  <c r="W23" i="36" s="1"/>
  <c r="W24" i="36" s="1"/>
  <c r="W25" i="36" s="1"/>
  <c r="W26" i="36" s="1"/>
  <c r="W27" i="36" s="1"/>
  <c r="W28" i="36" s="1"/>
  <c r="W29" i="36" s="1"/>
  <c r="W30" i="36" s="1"/>
  <c r="W31" i="36" s="1"/>
  <c r="W32" i="36" s="1"/>
  <c r="W33" i="36" s="1"/>
  <c r="W34" i="36" s="1"/>
  <c r="W35" i="36" s="1"/>
  <c r="W36" i="36" s="1"/>
  <c r="W37" i="36" s="1"/>
  <c r="W38" i="36" s="1"/>
  <c r="W39" i="36" s="1"/>
  <c r="W40" i="36" s="1"/>
  <c r="W41" i="36" s="1"/>
  <c r="W42" i="36" s="1"/>
  <c r="W43" i="36" s="1"/>
  <c r="W44" i="36" s="1"/>
  <c r="W45" i="36" s="1"/>
  <c r="W46" i="36" s="1"/>
  <c r="W47" i="36" s="1"/>
  <c r="W48" i="36" s="1"/>
  <c r="W49" i="36" s="1"/>
  <c r="W50" i="36" s="1"/>
  <c r="W51" i="36" s="1"/>
  <c r="W52" i="36" s="1"/>
  <c r="W53" i="36" s="1"/>
  <c r="W54" i="36" s="1"/>
  <c r="W55" i="36" s="1"/>
  <c r="AD21" i="36"/>
  <c r="AA5" i="36" s="1"/>
  <c r="S23" i="36"/>
  <c r="C2" i="35" a="1"/>
  <c r="R22" i="36"/>
  <c r="S22" i="36" s="1"/>
  <c r="C3" i="35" l="1"/>
  <c r="C2" i="35"/>
  <c r="C9" i="35"/>
  <c r="C8" i="35"/>
  <c r="C5" i="35"/>
  <c r="C4" i="35"/>
  <c r="C7" i="35"/>
  <c r="C6" i="35"/>
  <c r="AA3" i="36"/>
  <c r="AA6" i="36" s="1"/>
  <c r="AA7" i="36" s="1"/>
  <c r="AA8" i="36" s="1"/>
  <c r="AA9" i="36" s="1"/>
  <c r="AA10" i="36" s="1"/>
  <c r="AA11" i="36" s="1"/>
  <c r="AA12" i="36" s="1"/>
  <c r="AA13" i="36" s="1"/>
  <c r="AA14" i="36" s="1"/>
  <c r="AA15" i="36" s="1"/>
  <c r="AA16" i="36" s="1"/>
  <c r="AA17" i="36" s="1"/>
  <c r="AA18" i="36" s="1"/>
  <c r="AA19" i="36" s="1"/>
  <c r="AA20" i="36" s="1"/>
  <c r="AA21" i="36" s="1"/>
  <c r="AA22" i="36" s="1"/>
  <c r="AA23" i="36" s="1"/>
  <c r="AA24" i="36" s="1"/>
  <c r="AA25" i="36" s="1"/>
  <c r="AA26" i="36" s="1"/>
  <c r="AA27" i="36" s="1"/>
  <c r="AA28" i="36" s="1"/>
  <c r="AA29" i="36" s="1"/>
  <c r="AA30" i="36" s="1"/>
  <c r="AA31" i="36" s="1"/>
  <c r="AA32" i="36" s="1"/>
  <c r="AA33" i="36" s="1"/>
  <c r="AA34" i="36" s="1"/>
  <c r="AA35" i="36" s="1"/>
  <c r="AA36" i="36" s="1"/>
  <c r="AA37" i="36" s="1"/>
  <c r="AA38" i="36" s="1"/>
  <c r="AA39" i="36" s="1"/>
  <c r="AA40" i="36" s="1"/>
  <c r="AA41" i="36" s="1"/>
  <c r="AA42" i="36" s="1"/>
  <c r="AA43" i="36" s="1"/>
  <c r="AA44" i="36" s="1"/>
  <c r="AA45" i="36" s="1"/>
  <c r="AA46" i="36" s="1"/>
  <c r="AA47" i="36" s="1"/>
  <c r="AA48" i="36" s="1"/>
  <c r="AA49" i="36" s="1"/>
  <c r="AA50" i="36" s="1"/>
  <c r="AA51" i="36" s="1"/>
  <c r="AA52" i="36" s="1"/>
  <c r="AA53" i="36" s="1"/>
  <c r="AA54" i="36" s="1"/>
  <c r="AA55" i="36" s="1"/>
  <c r="Y3" i="36"/>
  <c r="Y6" i="36" s="1"/>
  <c r="Y7" i="36" s="1"/>
  <c r="Y8" i="36" s="1"/>
  <c r="Y9" i="36" s="1"/>
  <c r="Y10" i="36" s="1"/>
  <c r="Y11" i="36" s="1"/>
  <c r="Y12" i="36" s="1"/>
  <c r="Y13" i="36" s="1"/>
  <c r="Y14" i="36" s="1"/>
  <c r="Y15" i="36" s="1"/>
  <c r="Y16" i="36" s="1"/>
  <c r="Y17" i="36" s="1"/>
  <c r="Y18" i="36" s="1"/>
  <c r="Y19" i="36" s="1"/>
  <c r="Y20" i="36" s="1"/>
  <c r="Y21" i="36" s="1"/>
  <c r="Y22" i="36" s="1"/>
  <c r="Y23" i="36" s="1"/>
  <c r="Y24" i="36" s="1"/>
  <c r="Y25" i="36" s="1"/>
  <c r="Y26" i="36" s="1"/>
  <c r="Y27" i="36" s="1"/>
  <c r="Y28" i="36" s="1"/>
  <c r="Y29" i="36" s="1"/>
  <c r="Y30" i="36" s="1"/>
  <c r="Y31" i="36" s="1"/>
  <c r="Y32" i="36" s="1"/>
  <c r="Y33" i="36" s="1"/>
  <c r="Y34" i="36" s="1"/>
  <c r="Y35" i="36" s="1"/>
  <c r="Y36" i="36" s="1"/>
  <c r="Y37" i="36" s="1"/>
  <c r="Y38" i="36" s="1"/>
  <c r="Y39" i="36" s="1"/>
  <c r="Y40" i="36" s="1"/>
  <c r="Y41" i="36" s="1"/>
  <c r="Y42" i="36" s="1"/>
  <c r="Y43" i="36" s="1"/>
  <c r="Y44" i="36" s="1"/>
  <c r="Y45" i="36" s="1"/>
  <c r="Y46" i="36" s="1"/>
  <c r="Y47" i="36" s="1"/>
  <c r="Y48" i="36" s="1"/>
  <c r="Y49" i="36" s="1"/>
  <c r="Y50" i="36" s="1"/>
  <c r="Y51" i="36" s="1"/>
  <c r="Y52" i="36" s="1"/>
  <c r="Y53" i="36" s="1"/>
  <c r="Y54" i="36" s="1"/>
  <c r="Y55" i="36" s="1"/>
  <c r="E4" i="33" l="1"/>
  <c r="B6" i="33"/>
  <c r="C6" i="33"/>
  <c r="D6" i="33"/>
  <c r="E8" i="33" s="1"/>
  <c r="B7" i="33"/>
  <c r="C7" i="33"/>
  <c r="D7" i="33"/>
  <c r="B8" i="33"/>
  <c r="C8" i="33"/>
  <c r="D8" i="33"/>
  <c r="J8" i="33"/>
  <c r="O8" i="33"/>
  <c r="L10" i="33"/>
  <c r="M10" i="33"/>
  <c r="N10" i="33"/>
  <c r="L11" i="33"/>
  <c r="M11" i="33"/>
  <c r="N11" i="33"/>
  <c r="E12" i="33"/>
  <c r="J12" i="33"/>
  <c r="L12" i="33"/>
  <c r="M12" i="33"/>
  <c r="N12" i="33"/>
  <c r="O12" i="33" l="1"/>
  <c r="H3" i="32"/>
  <c r="I3" i="32"/>
  <c r="J3" i="32"/>
  <c r="H4" i="32"/>
  <c r="I4" i="32"/>
  <c r="J4" i="32"/>
  <c r="H5" i="32"/>
  <c r="I5" i="32"/>
  <c r="J5" i="32"/>
  <c r="H6" i="32"/>
  <c r="I6" i="32"/>
  <c r="J6" i="32"/>
  <c r="H7" i="32"/>
  <c r="I7" i="32"/>
  <c r="J7" i="32"/>
  <c r="H8" i="32"/>
  <c r="I8" i="32"/>
  <c r="J8" i="32"/>
  <c r="H9" i="32"/>
  <c r="I9" i="32"/>
  <c r="J9" i="32"/>
  <c r="H10" i="32"/>
  <c r="I10" i="32"/>
  <c r="J10" i="32"/>
  <c r="H11" i="32"/>
  <c r="I11" i="32"/>
  <c r="J11" i="32"/>
  <c r="H12" i="32"/>
  <c r="I12" i="32"/>
  <c r="J12" i="32"/>
  <c r="H13" i="32"/>
  <c r="I13" i="32"/>
  <c r="J13" i="32"/>
  <c r="B4" i="31" l="1"/>
  <c r="B5" i="31" s="1"/>
  <c r="AE36" i="31"/>
  <c r="AE37" i="31"/>
  <c r="Z38" i="31"/>
  <c r="AA38" i="31"/>
  <c r="AD38" i="31"/>
  <c r="AE38" i="31"/>
  <c r="F3" i="29"/>
  <c r="G3" i="29" s="1"/>
  <c r="AF38" i="31" l="1"/>
  <c r="B6" i="31"/>
  <c r="H3" i="29"/>
  <c r="F4" i="29"/>
  <c r="G4" i="29"/>
  <c r="H4" i="29"/>
  <c r="F5" i="29"/>
  <c r="G5" i="29" s="1"/>
  <c r="H5" i="29"/>
  <c r="F6" i="29"/>
  <c r="G6" i="29" s="1"/>
  <c r="H6" i="29"/>
  <c r="F7" i="29"/>
  <c r="G7" i="29" s="1"/>
  <c r="H7" i="29"/>
  <c r="F8" i="29"/>
  <c r="G8" i="29" s="1"/>
  <c r="F9" i="29"/>
  <c r="G9" i="29" s="1"/>
  <c r="F10" i="29"/>
  <c r="H10" i="29" s="1"/>
  <c r="G10" i="29"/>
  <c r="F11" i="29"/>
  <c r="G11" i="29"/>
  <c r="H11" i="29"/>
  <c r="B16" i="29"/>
  <c r="B5" i="30" s="1"/>
  <c r="C16" i="29"/>
  <c r="C5" i="30" s="1"/>
  <c r="H2" i="30" l="1" a="1"/>
  <c r="H9" i="29"/>
  <c r="B7" i="31"/>
  <c r="H8" i="29"/>
  <c r="B8" i="28"/>
  <c r="E14" i="28" s="1" a="1"/>
  <c r="K8" i="28"/>
  <c r="L8" i="28"/>
  <c r="M8" i="28"/>
  <c r="B9" i="28"/>
  <c r="D9" i="28"/>
  <c r="K9" i="28"/>
  <c r="L9" i="28"/>
  <c r="M9" i="28"/>
  <c r="D10" i="28"/>
  <c r="K10" i="28"/>
  <c r="M10" i="28" s="1"/>
  <c r="L10" i="28"/>
  <c r="D11" i="28"/>
  <c r="K11" i="28"/>
  <c r="L11" i="28"/>
  <c r="M11" i="28"/>
  <c r="A14" i="28" a="1"/>
  <c r="C14" i="28" s="1"/>
  <c r="P14" i="28" a="1"/>
  <c r="G14" i="28" a="1"/>
  <c r="N8" i="28" l="1" a="1"/>
  <c r="I2" i="30"/>
  <c r="I4" i="30"/>
  <c r="J2" i="30"/>
  <c r="I5" i="30"/>
  <c r="H4" i="30"/>
  <c r="K5" i="30"/>
  <c r="K3" i="30"/>
  <c r="H2" i="30"/>
  <c r="J3" i="30"/>
  <c r="H3" i="30"/>
  <c r="I3" i="30"/>
  <c r="J5" i="30"/>
  <c r="K2" i="30"/>
  <c r="H5" i="30"/>
  <c r="K4" i="30"/>
  <c r="J4" i="30"/>
  <c r="B8" i="31"/>
  <c r="P14" i="28"/>
  <c r="P15" i="28"/>
  <c r="P16" i="28"/>
  <c r="G14" i="28"/>
  <c r="G15" i="28"/>
  <c r="G16" i="28"/>
  <c r="E15" i="28"/>
  <c r="E14" i="28"/>
  <c r="E16" i="28"/>
  <c r="N8" i="28"/>
  <c r="N9" i="28"/>
  <c r="N10" i="28"/>
  <c r="N11" i="28"/>
  <c r="C15" i="28"/>
  <c r="A14" i="28"/>
  <c r="N14" i="28" a="1"/>
  <c r="N3" i="28" a="1"/>
  <c r="B14" i="28"/>
  <c r="B15" i="28"/>
  <c r="A15" i="28"/>
  <c r="C16" i="28"/>
  <c r="J14" i="28" a="1"/>
  <c r="D8" i="28"/>
  <c r="E8" i="28" s="1" a="1"/>
  <c r="A16" i="28"/>
  <c r="B16" i="28"/>
  <c r="D3" i="27"/>
  <c r="D4" i="27"/>
  <c r="D5" i="27"/>
  <c r="D6" i="27"/>
  <c r="D7" i="27"/>
  <c r="D8" i="27"/>
  <c r="H8" i="27"/>
  <c r="D9" i="27"/>
  <c r="H9" i="27"/>
  <c r="I17" i="27" s="1"/>
  <c r="D10" i="27"/>
  <c r="H10" i="27"/>
  <c r="I13" i="27"/>
  <c r="I14" i="27"/>
  <c r="I15" i="27"/>
  <c r="C16" i="27"/>
  <c r="I16" i="27"/>
  <c r="M3" i="27" l="1" a="1"/>
  <c r="M4" i="27" s="1"/>
  <c r="E3" i="28" a="1"/>
  <c r="G6" i="28" s="1"/>
  <c r="H7" i="30" a="1"/>
  <c r="B9" i="31"/>
  <c r="N15" i="28"/>
  <c r="N14" i="28"/>
  <c r="N16" i="28"/>
  <c r="O4" i="28"/>
  <c r="Q4" i="28"/>
  <c r="Q5" i="28"/>
  <c r="N4" i="28"/>
  <c r="O6" i="28"/>
  <c r="P6" i="28"/>
  <c r="P3" i="28"/>
  <c r="Q3" i="28"/>
  <c r="P4" i="28"/>
  <c r="N6" i="28"/>
  <c r="Q6" i="28"/>
  <c r="O3" i="28"/>
  <c r="N5" i="28"/>
  <c r="O5" i="28"/>
  <c r="P5" i="28"/>
  <c r="N3" i="28"/>
  <c r="H4" i="28"/>
  <c r="F6" i="28"/>
  <c r="H6" i="28"/>
  <c r="G5" i="28"/>
  <c r="G3" i="28"/>
  <c r="H5" i="28"/>
  <c r="E3" i="28"/>
  <c r="H3" i="28"/>
  <c r="E5" i="28"/>
  <c r="F5" i="28"/>
  <c r="G4" i="28"/>
  <c r="E6" i="28"/>
  <c r="E8" i="28"/>
  <c r="E9" i="28"/>
  <c r="E11" i="28"/>
  <c r="E10" i="28"/>
  <c r="J15" i="28"/>
  <c r="K15" i="28"/>
  <c r="K14" i="28"/>
  <c r="L14" i="28"/>
  <c r="J16" i="28"/>
  <c r="L15" i="28"/>
  <c r="J14" i="28"/>
  <c r="K16" i="28"/>
  <c r="L16" i="28"/>
  <c r="H3" i="27" a="1"/>
  <c r="K5" i="27" s="1"/>
  <c r="I18" i="27"/>
  <c r="C18" i="27"/>
  <c r="H18" i="27"/>
  <c r="L3" i="27" a="1"/>
  <c r="B18" i="27"/>
  <c r="J18" i="27" s="1"/>
  <c r="C17" i="27"/>
  <c r="F2" i="26" a="1"/>
  <c r="G2" i="26" s="1"/>
  <c r="J2" i="26" a="1"/>
  <c r="M5" i="27" l="1"/>
  <c r="M3" i="27"/>
  <c r="M6" i="27"/>
  <c r="E4" i="28"/>
  <c r="F3" i="28"/>
  <c r="G8" i="28" s="1" a="1"/>
  <c r="F4" i="28"/>
  <c r="J9" i="30"/>
  <c r="I10" i="30"/>
  <c r="H9" i="30"/>
  <c r="I7" i="30"/>
  <c r="I9" i="30"/>
  <c r="K8" i="30"/>
  <c r="J8" i="30"/>
  <c r="K10" i="30"/>
  <c r="J10" i="30"/>
  <c r="H8" i="30"/>
  <c r="H10" i="30"/>
  <c r="K9" i="30"/>
  <c r="J7" i="30"/>
  <c r="I8" i="30"/>
  <c r="K7" i="30"/>
  <c r="H7" i="30"/>
  <c r="B10" i="31"/>
  <c r="P8" i="28" a="1"/>
  <c r="K6" i="27"/>
  <c r="K4" i="27"/>
  <c r="I6" i="27"/>
  <c r="I5" i="27"/>
  <c r="H5" i="27"/>
  <c r="J3" i="27"/>
  <c r="I4" i="27"/>
  <c r="J4" i="27"/>
  <c r="H4" i="27"/>
  <c r="J5" i="27"/>
  <c r="I3" i="27"/>
  <c r="H6" i="27"/>
  <c r="H3" i="27"/>
  <c r="J6" i="27"/>
  <c r="F3" i="27" a="1"/>
  <c r="F4" i="27" s="1"/>
  <c r="K3" i="27"/>
  <c r="L4" i="27"/>
  <c r="B13" i="27" s="1"/>
  <c r="L6" i="27"/>
  <c r="L3" i="27"/>
  <c r="L5" i="27"/>
  <c r="B14" i="27" s="1"/>
  <c r="F2" i="26"/>
  <c r="I2" i="26"/>
  <c r="H2" i="26"/>
  <c r="J2" i="26"/>
  <c r="F3" i="26"/>
  <c r="G3" i="26"/>
  <c r="H3" i="26"/>
  <c r="I3" i="26"/>
  <c r="J3" i="26"/>
  <c r="F4" i="26"/>
  <c r="G4" i="26"/>
  <c r="H4" i="26"/>
  <c r="I4" i="26"/>
  <c r="J4" i="26"/>
  <c r="F5" i="26"/>
  <c r="G5" i="26"/>
  <c r="H5" i="26"/>
  <c r="I5" i="26"/>
  <c r="J5" i="26"/>
  <c r="B11" i="26" a="1"/>
  <c r="B15" i="27" l="1"/>
  <c r="G8" i="28"/>
  <c r="G10" i="28"/>
  <c r="G11" i="28"/>
  <c r="G9" i="28"/>
  <c r="D3" i="28" s="1" a="1"/>
  <c r="B11" i="31"/>
  <c r="P10" i="28"/>
  <c r="P8" i="28"/>
  <c r="P11" i="28"/>
  <c r="P9" i="28"/>
  <c r="F10" i="27"/>
  <c r="F6" i="27"/>
  <c r="F9" i="27"/>
  <c r="F8" i="27"/>
  <c r="F3" i="27"/>
  <c r="F7" i="27"/>
  <c r="F5" i="27"/>
  <c r="D15" i="27"/>
  <c r="H15" i="27"/>
  <c r="J15" i="27"/>
  <c r="H14" i="27"/>
  <c r="J14" i="27"/>
  <c r="D14" i="27"/>
  <c r="D13" i="27"/>
  <c r="H13" i="27"/>
  <c r="J13" i="27"/>
  <c r="B11" i="26"/>
  <c r="C11" i="26"/>
  <c r="D11" i="26"/>
  <c r="E11" i="26"/>
  <c r="B12" i="26"/>
  <c r="C12" i="26"/>
  <c r="D12" i="26"/>
  <c r="E12" i="26"/>
  <c r="B13" i="26"/>
  <c r="C13" i="26"/>
  <c r="D13" i="26"/>
  <c r="E13" i="26"/>
  <c r="B14" i="26"/>
  <c r="C14" i="26"/>
  <c r="D14" i="26"/>
  <c r="E14" i="26"/>
  <c r="B15" i="26"/>
  <c r="C15" i="26"/>
  <c r="D15" i="26"/>
  <c r="E15" i="26"/>
  <c r="B17" i="27" l="1"/>
  <c r="J17" i="27" s="1"/>
  <c r="H16" i="27"/>
  <c r="B12" i="31"/>
  <c r="H17" i="27"/>
  <c r="B16" i="27"/>
  <c r="D16" i="27" s="1"/>
  <c r="D5" i="28"/>
  <c r="D3" i="28"/>
  <c r="D4" i="28"/>
  <c r="D6" i="28"/>
  <c r="D17" i="27"/>
  <c r="E14" i="27" s="1"/>
  <c r="F14" i="27" s="1"/>
  <c r="B7" i="26" a="1"/>
  <c r="J7" i="26" a="1"/>
  <c r="E3" i="25"/>
  <c r="F3" i="25"/>
  <c r="G3" i="25"/>
  <c r="E4" i="25"/>
  <c r="F4" i="25"/>
  <c r="G4" i="25"/>
  <c r="E5" i="25"/>
  <c r="F5" i="25"/>
  <c r="G5" i="25"/>
  <c r="E6" i="25"/>
  <c r="F6" i="25"/>
  <c r="G6" i="25"/>
  <c r="E7" i="25"/>
  <c r="F7" i="25"/>
  <c r="G7" i="25"/>
  <c r="E8" i="25"/>
  <c r="F8" i="25"/>
  <c r="G8" i="25"/>
  <c r="E9" i="25"/>
  <c r="F9" i="25"/>
  <c r="G9" i="25"/>
  <c r="E10" i="25"/>
  <c r="F10" i="25"/>
  <c r="G10" i="25"/>
  <c r="E11" i="25"/>
  <c r="F11" i="25"/>
  <c r="G11" i="25"/>
  <c r="B13" i="25" a="1"/>
  <c r="E15" i="27" l="1"/>
  <c r="F15" i="27" s="1"/>
  <c r="K14" i="27"/>
  <c r="K15" i="27"/>
  <c r="B13" i="31"/>
  <c r="J16" i="27"/>
  <c r="K16" i="27" s="1"/>
  <c r="K13" i="27"/>
  <c r="E16" i="27"/>
  <c r="F16" i="27" s="1"/>
  <c r="E13" i="27"/>
  <c r="F13" i="27" s="1"/>
  <c r="J7" i="26"/>
  <c r="J10" i="26"/>
  <c r="J9" i="26"/>
  <c r="J8" i="26"/>
  <c r="B8" i="26"/>
  <c r="C8" i="26"/>
  <c r="C9" i="26"/>
  <c r="D8" i="26"/>
  <c r="E8" i="26"/>
  <c r="B7" i="26"/>
  <c r="B10" i="26"/>
  <c r="C7" i="26"/>
  <c r="C10" i="26"/>
  <c r="D10" i="26"/>
  <c r="E7" i="26"/>
  <c r="E10" i="26"/>
  <c r="D7" i="26"/>
  <c r="B9" i="26"/>
  <c r="D9" i="26"/>
  <c r="E9" i="26"/>
  <c r="B18" i="25"/>
  <c r="D16" i="25" s="1"/>
  <c r="B13" i="25"/>
  <c r="B14" i="25"/>
  <c r="B15" i="25"/>
  <c r="D13" i="25" s="1"/>
  <c r="B16" i="25"/>
  <c r="D15" i="25" s="1"/>
  <c r="C16" i="25" s="1"/>
  <c r="B17" i="25"/>
  <c r="C15" i="25" s="1"/>
  <c r="S4" i="24"/>
  <c r="V4" i="24" s="1"/>
  <c r="V3" i="24"/>
  <c r="U3" i="24"/>
  <c r="T3" i="24"/>
  <c r="D3" i="24"/>
  <c r="B13" i="24" s="1" a="1"/>
  <c r="B13" i="24" s="1"/>
  <c r="E3" i="24"/>
  <c r="F3" i="24"/>
  <c r="L3" i="24"/>
  <c r="D4" i="24"/>
  <c r="E4" i="24"/>
  <c r="F4" i="24"/>
  <c r="L4" i="24"/>
  <c r="D5" i="24"/>
  <c r="E5" i="24"/>
  <c r="F5" i="24"/>
  <c r="L5" i="24"/>
  <c r="D6" i="24"/>
  <c r="E6" i="24"/>
  <c r="F6" i="24"/>
  <c r="L6" i="24"/>
  <c r="D7" i="24"/>
  <c r="E7" i="24"/>
  <c r="F7" i="24"/>
  <c r="L7" i="24"/>
  <c r="D8" i="24"/>
  <c r="E8" i="24"/>
  <c r="F8" i="24"/>
  <c r="L8" i="24"/>
  <c r="D9" i="24"/>
  <c r="E9" i="24"/>
  <c r="F9" i="24"/>
  <c r="L9" i="24"/>
  <c r="D10" i="24"/>
  <c r="E10" i="24"/>
  <c r="F10" i="24"/>
  <c r="L10" i="24"/>
  <c r="D11" i="24"/>
  <c r="E11" i="24"/>
  <c r="F11" i="24"/>
  <c r="L11" i="24"/>
  <c r="E13" i="25" a="1"/>
  <c r="M13" i="24" a="1"/>
  <c r="I3" i="25" l="1" a="1"/>
  <c r="I5" i="25" s="1"/>
  <c r="I15" i="25" a="1"/>
  <c r="I15" i="25" s="1"/>
  <c r="B14" i="31"/>
  <c r="E14" i="25"/>
  <c r="E15" i="25"/>
  <c r="E13" i="25"/>
  <c r="G15" i="25" s="1"/>
  <c r="F13" i="25"/>
  <c r="H16" i="25" s="1"/>
  <c r="F14" i="25"/>
  <c r="F15" i="25"/>
  <c r="A7" i="26" a="1"/>
  <c r="F7" i="26" a="1"/>
  <c r="C13" i="25"/>
  <c r="T4" i="24"/>
  <c r="U4" i="24"/>
  <c r="S5" i="24"/>
  <c r="M13" i="24"/>
  <c r="M3" i="24" s="1" a="1"/>
  <c r="M15" i="24"/>
  <c r="M14" i="24"/>
  <c r="M16" i="24"/>
  <c r="M17" i="24"/>
  <c r="F15" i="24"/>
  <c r="E16" i="24"/>
  <c r="D16" i="24"/>
  <c r="F17" i="24"/>
  <c r="E17" i="24"/>
  <c r="D17" i="24"/>
  <c r="E15" i="24"/>
  <c r="C17" i="24"/>
  <c r="F13" i="24"/>
  <c r="B15" i="24"/>
  <c r="E14" i="24"/>
  <c r="D13" i="24"/>
  <c r="F16" i="24"/>
  <c r="D14" i="24"/>
  <c r="C13" i="24"/>
  <c r="B14" i="24"/>
  <c r="D15" i="24"/>
  <c r="C15" i="24"/>
  <c r="C16" i="24"/>
  <c r="B16" i="24"/>
  <c r="B17" i="24"/>
  <c r="F14" i="24"/>
  <c r="E13" i="24"/>
  <c r="C14" i="24"/>
  <c r="D3" i="23"/>
  <c r="E3" i="23"/>
  <c r="F3" i="23"/>
  <c r="L3" i="23"/>
  <c r="T3" i="23"/>
  <c r="U3" i="23"/>
  <c r="V3" i="23"/>
  <c r="D4" i="23"/>
  <c r="E4" i="23"/>
  <c r="F4" i="23"/>
  <c r="L4" i="23"/>
  <c r="S4" i="23"/>
  <c r="S5" i="23" s="1"/>
  <c r="U4" i="23"/>
  <c r="V4" i="23"/>
  <c r="D5" i="23"/>
  <c r="E5" i="23"/>
  <c r="F5" i="23"/>
  <c r="L5" i="23"/>
  <c r="D6" i="23"/>
  <c r="E6" i="23"/>
  <c r="F6" i="23"/>
  <c r="L6" i="23"/>
  <c r="D7" i="23"/>
  <c r="E7" i="23"/>
  <c r="F7" i="23"/>
  <c r="L7" i="23"/>
  <c r="D8" i="23"/>
  <c r="E8" i="23"/>
  <c r="F8" i="23"/>
  <c r="L8" i="23"/>
  <c r="D9" i="23"/>
  <c r="E9" i="23"/>
  <c r="F9" i="23"/>
  <c r="L9" i="23"/>
  <c r="D10" i="23"/>
  <c r="E10" i="23"/>
  <c r="F10" i="23"/>
  <c r="L10" i="23"/>
  <c r="D11" i="23"/>
  <c r="E11" i="23"/>
  <c r="F11" i="23"/>
  <c r="L11" i="23"/>
  <c r="B19" i="24" a="1"/>
  <c r="M13" i="23" a="1"/>
  <c r="I11" i="25" l="1"/>
  <c r="I10" i="25"/>
  <c r="I9" i="25"/>
  <c r="I4" i="25"/>
  <c r="I8" i="25"/>
  <c r="I7" i="25"/>
  <c r="I6" i="25"/>
  <c r="I3" i="25"/>
  <c r="B13" i="23" a="1"/>
  <c r="C16" i="23" s="1"/>
  <c r="T4" i="23"/>
  <c r="G13" i="25" a="1"/>
  <c r="H13" i="25" s="1"/>
  <c r="I16" i="25"/>
  <c r="I13" i="25" s="1" a="1"/>
  <c r="I13" i="25" s="1"/>
  <c r="B15" i="31"/>
  <c r="K3" i="25" a="1"/>
  <c r="F9" i="26"/>
  <c r="G9" i="26"/>
  <c r="H9" i="26"/>
  <c r="I9" i="26"/>
  <c r="H7" i="26"/>
  <c r="F8" i="26"/>
  <c r="G8" i="26"/>
  <c r="H8" i="26"/>
  <c r="I8" i="26"/>
  <c r="I7" i="26"/>
  <c r="F10" i="26"/>
  <c r="F7" i="26"/>
  <c r="G10" i="26"/>
  <c r="G7" i="26"/>
  <c r="H10" i="26"/>
  <c r="I10" i="26"/>
  <c r="A8" i="26"/>
  <c r="A7" i="26"/>
  <c r="A10" i="26"/>
  <c r="A9" i="26"/>
  <c r="V5" i="24"/>
  <c r="U5" i="24"/>
  <c r="S6" i="24"/>
  <c r="T5" i="24"/>
  <c r="C22" i="24"/>
  <c r="C21" i="24"/>
  <c r="C19" i="24"/>
  <c r="D20" i="24"/>
  <c r="D22" i="24"/>
  <c r="E23" i="24"/>
  <c r="D19" i="24"/>
  <c r="E20" i="24"/>
  <c r="B21" i="24"/>
  <c r="E19" i="24"/>
  <c r="D21" i="24"/>
  <c r="E21" i="24"/>
  <c r="F19" i="24"/>
  <c r="B22" i="24"/>
  <c r="D23" i="24"/>
  <c r="E22" i="24"/>
  <c r="F22" i="24"/>
  <c r="F23" i="24"/>
  <c r="B20" i="24"/>
  <c r="C23" i="24"/>
  <c r="F20" i="24"/>
  <c r="F21" i="24"/>
  <c r="B23" i="24"/>
  <c r="C20" i="24"/>
  <c r="B19" i="24"/>
  <c r="M6" i="24"/>
  <c r="O6" i="24" s="1"/>
  <c r="M10" i="24"/>
  <c r="O10" i="24" s="1"/>
  <c r="M7" i="24"/>
  <c r="O7" i="24" s="1"/>
  <c r="M5" i="24"/>
  <c r="O5" i="24" s="1"/>
  <c r="M9" i="24"/>
  <c r="O9" i="24" s="1"/>
  <c r="M11" i="24"/>
  <c r="O11" i="24" s="1"/>
  <c r="M4" i="24"/>
  <c r="O4" i="24" s="1"/>
  <c r="M8" i="24"/>
  <c r="O8" i="24" s="1"/>
  <c r="M3" i="24"/>
  <c r="O3" i="24" s="1"/>
  <c r="S6" i="23"/>
  <c r="V6" i="23" s="1"/>
  <c r="U5" i="23"/>
  <c r="E13" i="23"/>
  <c r="F13" i="23"/>
  <c r="D13" i="23"/>
  <c r="V5" i="23"/>
  <c r="T5" i="23"/>
  <c r="M13" i="23"/>
  <c r="D14" i="23"/>
  <c r="E14" i="23"/>
  <c r="F14" i="23"/>
  <c r="M14" i="23"/>
  <c r="E15" i="23"/>
  <c r="F15" i="23"/>
  <c r="M15" i="23"/>
  <c r="M16" i="23"/>
  <c r="B17" i="23"/>
  <c r="C17" i="23"/>
  <c r="D17" i="23"/>
  <c r="M17" i="23"/>
  <c r="B19" i="23" a="1"/>
  <c r="C13" i="23" l="1"/>
  <c r="B16" i="23"/>
  <c r="C14" i="23"/>
  <c r="E16" i="23"/>
  <c r="C15" i="23"/>
  <c r="F16" i="23"/>
  <c r="D15" i="23"/>
  <c r="B14" i="23"/>
  <c r="B13" i="23"/>
  <c r="F17" i="23"/>
  <c r="D16" i="23"/>
  <c r="B15" i="23"/>
  <c r="E17" i="23"/>
  <c r="G13" i="25"/>
  <c r="B16" i="31"/>
  <c r="K11" i="25"/>
  <c r="L3" i="25"/>
  <c r="L7" i="25"/>
  <c r="K4" i="25"/>
  <c r="L11" i="25"/>
  <c r="K6" i="25"/>
  <c r="K3" i="25"/>
  <c r="K8" i="25"/>
  <c r="K10" i="25"/>
  <c r="L6" i="25"/>
  <c r="L8" i="25"/>
  <c r="L10" i="25"/>
  <c r="L5" i="25"/>
  <c r="L9" i="25"/>
  <c r="K5" i="25"/>
  <c r="K7" i="25"/>
  <c r="L4" i="25"/>
  <c r="K9" i="25"/>
  <c r="N13" i="24" a="1"/>
  <c r="N13" i="24" s="1"/>
  <c r="S7" i="24"/>
  <c r="V6" i="24"/>
  <c r="U6" i="24"/>
  <c r="T6" i="24"/>
  <c r="G3" i="24" a="1"/>
  <c r="G19" i="24" a="1"/>
  <c r="G13" i="24" a="1"/>
  <c r="U6" i="23"/>
  <c r="T6" i="23"/>
  <c r="S7" i="23"/>
  <c r="V7" i="23" s="1"/>
  <c r="M3" i="23" a="1"/>
  <c r="B19" i="23"/>
  <c r="C19" i="23"/>
  <c r="D19" i="23"/>
  <c r="E19" i="23"/>
  <c r="F19" i="23"/>
  <c r="B20" i="23"/>
  <c r="C20" i="23"/>
  <c r="D20" i="23"/>
  <c r="E20" i="23"/>
  <c r="F20" i="23"/>
  <c r="B21" i="23"/>
  <c r="C21" i="23"/>
  <c r="D21" i="23"/>
  <c r="E21" i="23"/>
  <c r="F21" i="23"/>
  <c r="B22" i="23"/>
  <c r="C22" i="23"/>
  <c r="D22" i="23"/>
  <c r="E22" i="23"/>
  <c r="F22" i="23"/>
  <c r="B23" i="23"/>
  <c r="C23" i="23"/>
  <c r="D23" i="23"/>
  <c r="E23" i="23"/>
  <c r="F23" i="23"/>
  <c r="J4" i="25" l="1" a="1"/>
  <c r="J4" i="25" s="1"/>
  <c r="J8" i="25" a="1"/>
  <c r="J8" i="25" s="1"/>
  <c r="U7" i="23"/>
  <c r="T7" i="23"/>
  <c r="S8" i="23"/>
  <c r="J9" i="25" a="1"/>
  <c r="J9" i="25" s="1"/>
  <c r="J11" i="25" a="1"/>
  <c r="J11" i="25" s="1"/>
  <c r="J7" i="25" a="1"/>
  <c r="J7" i="25" s="1"/>
  <c r="B17" i="31"/>
  <c r="J10" i="25" a="1"/>
  <c r="J10" i="25" s="1"/>
  <c r="J6" i="25" a="1"/>
  <c r="J6" i="25" s="1"/>
  <c r="N15" i="24"/>
  <c r="J5" i="25" a="1"/>
  <c r="J5" i="25" s="1"/>
  <c r="N14" i="24"/>
  <c r="N17" i="24"/>
  <c r="N16" i="24"/>
  <c r="V7" i="24"/>
  <c r="S8" i="24"/>
  <c r="U7" i="24"/>
  <c r="T7" i="24"/>
  <c r="I15" i="24"/>
  <c r="K17" i="24"/>
  <c r="I17" i="24"/>
  <c r="H13" i="24"/>
  <c r="I16" i="24"/>
  <c r="J16" i="24"/>
  <c r="G14" i="24"/>
  <c r="K15" i="24"/>
  <c r="H16" i="24"/>
  <c r="K16" i="24"/>
  <c r="H14" i="24"/>
  <c r="G15" i="24"/>
  <c r="K13" i="24"/>
  <c r="I13" i="24"/>
  <c r="J15" i="24"/>
  <c r="H15" i="24"/>
  <c r="G17" i="24"/>
  <c r="K14" i="24"/>
  <c r="G16" i="24"/>
  <c r="H17" i="24"/>
  <c r="J14" i="24"/>
  <c r="J17" i="24"/>
  <c r="J13" i="24"/>
  <c r="G13" i="24"/>
  <c r="I14" i="24"/>
  <c r="K20" i="24"/>
  <c r="K23" i="24"/>
  <c r="G20" i="24"/>
  <c r="K22" i="24"/>
  <c r="J20" i="24"/>
  <c r="K21" i="24"/>
  <c r="G23" i="24"/>
  <c r="G22" i="24"/>
  <c r="H23" i="24"/>
  <c r="G19" i="24"/>
  <c r="G21" i="24"/>
  <c r="H21" i="24"/>
  <c r="H22" i="24"/>
  <c r="I22" i="24"/>
  <c r="I23" i="24"/>
  <c r="J23" i="24"/>
  <c r="J22" i="24"/>
  <c r="I21" i="24"/>
  <c r="I20" i="24"/>
  <c r="I19" i="24"/>
  <c r="J19" i="24"/>
  <c r="H20" i="24"/>
  <c r="J21" i="24"/>
  <c r="K19" i="24"/>
  <c r="H19" i="24"/>
  <c r="J10" i="24"/>
  <c r="H3" i="24"/>
  <c r="K11" i="24"/>
  <c r="J8" i="24"/>
  <c r="H8" i="24"/>
  <c r="J7" i="24"/>
  <c r="G11" i="24"/>
  <c r="G4" i="24"/>
  <c r="J6" i="24"/>
  <c r="K6" i="24"/>
  <c r="K5" i="24"/>
  <c r="I3" i="24"/>
  <c r="G8" i="24"/>
  <c r="K4" i="24"/>
  <c r="G7" i="24"/>
  <c r="I5" i="24"/>
  <c r="H4" i="24"/>
  <c r="H11" i="24"/>
  <c r="K9" i="24"/>
  <c r="K8" i="24"/>
  <c r="J11" i="24"/>
  <c r="K10" i="24"/>
  <c r="G6" i="24"/>
  <c r="K7" i="24"/>
  <c r="G3" i="24"/>
  <c r="H6" i="24"/>
  <c r="I10" i="24"/>
  <c r="I4" i="24"/>
  <c r="J3" i="24"/>
  <c r="I8" i="24"/>
  <c r="K3" i="24"/>
  <c r="G9" i="24"/>
  <c r="H10" i="24"/>
  <c r="I7" i="24"/>
  <c r="J5" i="24"/>
  <c r="G5" i="24"/>
  <c r="I11" i="24"/>
  <c r="J9" i="24"/>
  <c r="G10" i="24"/>
  <c r="J4" i="24"/>
  <c r="I6" i="24"/>
  <c r="H9" i="24"/>
  <c r="H5" i="24"/>
  <c r="I9" i="24"/>
  <c r="H7" i="24"/>
  <c r="G19" i="23" a="1"/>
  <c r="J21" i="23" s="1"/>
  <c r="G3" i="23" a="1"/>
  <c r="G13" i="23" a="1"/>
  <c r="N13" i="23" a="1"/>
  <c r="U8" i="23"/>
  <c r="V8" i="23"/>
  <c r="S9" i="23"/>
  <c r="T8" i="23"/>
  <c r="M4" i="23"/>
  <c r="O4" i="23" s="1"/>
  <c r="M9" i="23"/>
  <c r="O9" i="23" s="1"/>
  <c r="M10" i="23"/>
  <c r="O10" i="23" s="1"/>
  <c r="M5" i="23"/>
  <c r="O5" i="23" s="1"/>
  <c r="M8" i="23"/>
  <c r="O8" i="23" s="1"/>
  <c r="M3" i="23"/>
  <c r="O3" i="23" s="1"/>
  <c r="M11" i="23"/>
  <c r="O11" i="23" s="1"/>
  <c r="M6" i="23"/>
  <c r="O6" i="23" s="1"/>
  <c r="M7" i="23"/>
  <c r="O7" i="23" s="1"/>
  <c r="F3" i="21"/>
  <c r="G3" i="21"/>
  <c r="H3" i="21"/>
  <c r="I3" i="21"/>
  <c r="J3" i="21"/>
  <c r="K3" i="21"/>
  <c r="F4" i="21"/>
  <c r="F37" i="21" s="1" a="1"/>
  <c r="G4" i="21"/>
  <c r="H4" i="21"/>
  <c r="I4" i="21"/>
  <c r="J4" i="21"/>
  <c r="K4" i="21"/>
  <c r="F5" i="21"/>
  <c r="G5" i="21"/>
  <c r="H5" i="21"/>
  <c r="I5" i="21"/>
  <c r="I40" i="21" s="1" a="1"/>
  <c r="J5" i="21"/>
  <c r="K5" i="21"/>
  <c r="F6" i="21"/>
  <c r="G6" i="21"/>
  <c r="H6" i="21"/>
  <c r="I6" i="21"/>
  <c r="J6" i="21"/>
  <c r="K6" i="21"/>
  <c r="F7" i="21"/>
  <c r="G7" i="21"/>
  <c r="H7" i="21"/>
  <c r="I7" i="21"/>
  <c r="J7" i="21"/>
  <c r="K7" i="21"/>
  <c r="F8" i="21"/>
  <c r="G8" i="21"/>
  <c r="H8" i="21"/>
  <c r="I8" i="21"/>
  <c r="J8" i="21"/>
  <c r="K8" i="21"/>
  <c r="F9" i="21"/>
  <c r="G9" i="21"/>
  <c r="H9" i="21"/>
  <c r="I9" i="21"/>
  <c r="J9" i="21"/>
  <c r="K9" i="21"/>
  <c r="F10" i="21"/>
  <c r="G10" i="21"/>
  <c r="H10" i="21"/>
  <c r="I10" i="21"/>
  <c r="J10" i="21"/>
  <c r="K10" i="21"/>
  <c r="F11" i="21"/>
  <c r="G11" i="21"/>
  <c r="H11" i="21"/>
  <c r="I11" i="21"/>
  <c r="J11" i="21"/>
  <c r="K11" i="21"/>
  <c r="F12" i="21"/>
  <c r="G12" i="21"/>
  <c r="H12" i="21"/>
  <c r="I12" i="21"/>
  <c r="J12" i="21"/>
  <c r="K12" i="21"/>
  <c r="F13" i="21"/>
  <c r="G13" i="21"/>
  <c r="H13" i="21"/>
  <c r="I13" i="21"/>
  <c r="J13" i="21"/>
  <c r="K13" i="21"/>
  <c r="F14" i="21"/>
  <c r="G14" i="21"/>
  <c r="H14" i="21"/>
  <c r="I14" i="21"/>
  <c r="J14" i="21"/>
  <c r="K14" i="21"/>
  <c r="F15" i="21"/>
  <c r="G15" i="21"/>
  <c r="H15" i="21"/>
  <c r="I15" i="21"/>
  <c r="J15" i="21"/>
  <c r="K15" i="21"/>
  <c r="F16" i="21"/>
  <c r="G16" i="21"/>
  <c r="H16" i="21"/>
  <c r="I16" i="21"/>
  <c r="J16" i="21"/>
  <c r="K16" i="21"/>
  <c r="F17" i="21"/>
  <c r="G17" i="21"/>
  <c r="H17" i="21"/>
  <c r="I17" i="21"/>
  <c r="J17" i="21"/>
  <c r="K17" i="21"/>
  <c r="F18" i="21"/>
  <c r="G18" i="21"/>
  <c r="H18" i="21"/>
  <c r="I18" i="21"/>
  <c r="J18" i="21"/>
  <c r="K18" i="21"/>
  <c r="B33" i="21" a="1"/>
  <c r="B33" i="21" s="1"/>
  <c r="B50" i="21"/>
  <c r="C50" i="21"/>
  <c r="Y20" i="21" a="1"/>
  <c r="C34" i="21" a="1"/>
  <c r="B18" i="31" l="1"/>
  <c r="S9" i="24"/>
  <c r="V8" i="24"/>
  <c r="U8" i="24"/>
  <c r="T8" i="24"/>
  <c r="N3" i="24" a="1"/>
  <c r="L19" i="24" a="1"/>
  <c r="H22" i="23"/>
  <c r="I22" i="23"/>
  <c r="K22" i="23"/>
  <c r="J22" i="23"/>
  <c r="H20" i="23"/>
  <c r="G20" i="23"/>
  <c r="G23" i="23"/>
  <c r="K23" i="23"/>
  <c r="G19" i="23"/>
  <c r="I19" i="23"/>
  <c r="K20" i="23"/>
  <c r="G22" i="23"/>
  <c r="K21" i="23"/>
  <c r="I21" i="23"/>
  <c r="J23" i="23"/>
  <c r="H21" i="23"/>
  <c r="H19" i="23"/>
  <c r="J20" i="23"/>
  <c r="H23" i="23"/>
  <c r="I20" i="23"/>
  <c r="K19" i="23"/>
  <c r="I23" i="23"/>
  <c r="G21" i="23"/>
  <c r="J19" i="23"/>
  <c r="G13" i="23"/>
  <c r="H13" i="23"/>
  <c r="K13" i="23"/>
  <c r="I13" i="23"/>
  <c r="J13" i="23"/>
  <c r="G14" i="23"/>
  <c r="K16" i="23"/>
  <c r="I14" i="23"/>
  <c r="G17" i="23"/>
  <c r="J14" i="23"/>
  <c r="H16" i="23"/>
  <c r="H14" i="23"/>
  <c r="I17" i="23"/>
  <c r="H17" i="23"/>
  <c r="K14" i="23"/>
  <c r="J17" i="23"/>
  <c r="J15" i="23"/>
  <c r="K15" i="23"/>
  <c r="G15" i="23"/>
  <c r="K17" i="23"/>
  <c r="I15" i="23"/>
  <c r="J16" i="23"/>
  <c r="H15" i="23"/>
  <c r="G16" i="23"/>
  <c r="I16" i="23"/>
  <c r="U9" i="23"/>
  <c r="V9" i="23"/>
  <c r="S10" i="23"/>
  <c r="T9" i="23"/>
  <c r="N13" i="23"/>
  <c r="N16" i="23"/>
  <c r="N15" i="23"/>
  <c r="N14" i="23"/>
  <c r="N17" i="23"/>
  <c r="J4" i="23"/>
  <c r="H7" i="23"/>
  <c r="J7" i="23"/>
  <c r="G5" i="23"/>
  <c r="K7" i="23"/>
  <c r="I10" i="23"/>
  <c r="J10" i="23"/>
  <c r="K4" i="23"/>
  <c r="I7" i="23"/>
  <c r="G10" i="23"/>
  <c r="K10" i="23"/>
  <c r="H10" i="23"/>
  <c r="G3" i="23"/>
  <c r="H5" i="23"/>
  <c r="I5" i="23"/>
  <c r="H3" i="23"/>
  <c r="I3" i="23"/>
  <c r="J5" i="23"/>
  <c r="H8" i="23"/>
  <c r="J8" i="23"/>
  <c r="H11" i="23"/>
  <c r="K8" i="23"/>
  <c r="I11" i="23"/>
  <c r="J3" i="23"/>
  <c r="K5" i="23"/>
  <c r="I8" i="23"/>
  <c r="G11" i="23"/>
  <c r="K3" i="23"/>
  <c r="G6" i="23"/>
  <c r="H6" i="23"/>
  <c r="J11" i="23"/>
  <c r="K11" i="23"/>
  <c r="J6" i="23"/>
  <c r="H9" i="23"/>
  <c r="J9" i="23"/>
  <c r="I6" i="23"/>
  <c r="G9" i="23"/>
  <c r="G4" i="23"/>
  <c r="K6" i="23"/>
  <c r="I9" i="23"/>
  <c r="I4" i="23"/>
  <c r="G7" i="23"/>
  <c r="K9" i="23"/>
  <c r="G8" i="23"/>
  <c r="H4" i="23"/>
  <c r="Y20" i="21"/>
  <c r="AB3" i="21" s="1" a="1"/>
  <c r="Y21" i="21"/>
  <c r="Y22" i="21"/>
  <c r="Y23" i="21"/>
  <c r="Y24" i="21"/>
  <c r="Y25" i="21"/>
  <c r="Y26" i="21"/>
  <c r="Y27" i="21"/>
  <c r="Y28" i="21"/>
  <c r="Y29" i="21"/>
  <c r="I40" i="21"/>
  <c r="J40" i="21"/>
  <c r="K40" i="21"/>
  <c r="I41" i="21"/>
  <c r="J41" i="21"/>
  <c r="K41" i="21"/>
  <c r="I42" i="21"/>
  <c r="J42" i="21"/>
  <c r="K42" i="21"/>
  <c r="F37" i="21"/>
  <c r="G37" i="21"/>
  <c r="H37" i="21"/>
  <c r="F38" i="21"/>
  <c r="G38" i="21"/>
  <c r="H38" i="21"/>
  <c r="F39" i="21"/>
  <c r="G39" i="21"/>
  <c r="H39" i="21"/>
  <c r="C34" i="21"/>
  <c r="D34" i="21"/>
  <c r="E34" i="21"/>
  <c r="E36" i="21"/>
  <c r="C35" i="21"/>
  <c r="D35" i="21"/>
  <c r="E35" i="21"/>
  <c r="C36" i="21"/>
  <c r="D36" i="21"/>
  <c r="B21" i="21" a="1"/>
  <c r="F3" i="20"/>
  <c r="K3" i="20"/>
  <c r="L3" i="20"/>
  <c r="O3" i="20" s="1"/>
  <c r="N3" i="20"/>
  <c r="F4" i="20"/>
  <c r="K4" i="20"/>
  <c r="N4" i="20" s="1"/>
  <c r="L4" i="20"/>
  <c r="O4" i="20" s="1"/>
  <c r="F5" i="20"/>
  <c r="K5" i="20"/>
  <c r="N5" i="20" s="1"/>
  <c r="L5" i="20"/>
  <c r="O5" i="20" s="1"/>
  <c r="M5" i="20"/>
  <c r="F6" i="20"/>
  <c r="K6" i="20"/>
  <c r="L6" i="20"/>
  <c r="O6" i="20" s="1"/>
  <c r="F7" i="20"/>
  <c r="K7" i="20"/>
  <c r="L7" i="20"/>
  <c r="N7" i="20"/>
  <c r="F8" i="20"/>
  <c r="K8" i="20"/>
  <c r="N8" i="20" s="1"/>
  <c r="L8" i="20"/>
  <c r="O8" i="20"/>
  <c r="F9" i="20"/>
  <c r="K9" i="20"/>
  <c r="L9" i="20"/>
  <c r="O9" i="20" s="1"/>
  <c r="F10" i="20"/>
  <c r="K10" i="20"/>
  <c r="N10" i="20" s="1"/>
  <c r="L10" i="20"/>
  <c r="O10" i="20" s="1"/>
  <c r="F11" i="20"/>
  <c r="K11" i="20"/>
  <c r="N11" i="20" s="1"/>
  <c r="L11" i="20"/>
  <c r="O11" i="20" s="1"/>
  <c r="F12" i="20"/>
  <c r="F13" i="20" s="1"/>
  <c r="F14" i="20" s="1"/>
  <c r="K12" i="20"/>
  <c r="L12" i="20"/>
  <c r="O12" i="20" s="1"/>
  <c r="N12" i="20"/>
  <c r="K13" i="20"/>
  <c r="L13" i="20"/>
  <c r="O13" i="20" s="1"/>
  <c r="N13" i="20"/>
  <c r="K14" i="20"/>
  <c r="L14" i="20"/>
  <c r="O14" i="20" s="1"/>
  <c r="F15" i="20"/>
  <c r="K15" i="20"/>
  <c r="N15" i="20" s="1"/>
  <c r="L15" i="20"/>
  <c r="O15" i="20" s="1"/>
  <c r="F16" i="20"/>
  <c r="K16" i="20"/>
  <c r="N16" i="20" s="1"/>
  <c r="L16" i="20"/>
  <c r="O16" i="20"/>
  <c r="F17" i="20"/>
  <c r="K17" i="20"/>
  <c r="N17" i="20" s="1"/>
  <c r="L17" i="20"/>
  <c r="F18" i="20"/>
  <c r="K18" i="20"/>
  <c r="M18" i="20" s="1"/>
  <c r="L18" i="20"/>
  <c r="O18" i="20"/>
  <c r="F19" i="20"/>
  <c r="K19" i="20"/>
  <c r="N19" i="20" s="1"/>
  <c r="L19" i="20"/>
  <c r="O19" i="20" s="1"/>
  <c r="F20" i="20"/>
  <c r="K20" i="20"/>
  <c r="N20" i="20" s="1"/>
  <c r="L20" i="20"/>
  <c r="O20" i="20" s="1"/>
  <c r="M20" i="20"/>
  <c r="F21" i="20"/>
  <c r="K21" i="20"/>
  <c r="L21" i="20"/>
  <c r="O21" i="20" s="1"/>
  <c r="F22" i="20"/>
  <c r="K22" i="20"/>
  <c r="L22" i="20"/>
  <c r="O22" i="20" s="1"/>
  <c r="N22" i="20"/>
  <c r="F23" i="20"/>
  <c r="K23" i="20"/>
  <c r="N23" i="20" s="1"/>
  <c r="L23" i="20"/>
  <c r="O23" i="20"/>
  <c r="U23" i="20"/>
  <c r="F24" i="20"/>
  <c r="F25" i="20" s="1"/>
  <c r="F26" i="20" s="1"/>
  <c r="K24" i="20"/>
  <c r="N24" i="20" s="1"/>
  <c r="L24" i="20"/>
  <c r="M24" i="20" s="1"/>
  <c r="K25" i="20"/>
  <c r="L25" i="20"/>
  <c r="M25" i="20" s="1"/>
  <c r="N25" i="20"/>
  <c r="O25" i="20"/>
  <c r="K26" i="20"/>
  <c r="L26" i="20"/>
  <c r="O26" i="20" s="1"/>
  <c r="F27" i="20"/>
  <c r="K27" i="20"/>
  <c r="M27" i="20" s="1"/>
  <c r="L27" i="20"/>
  <c r="N27" i="20"/>
  <c r="O27" i="20"/>
  <c r="F28" i="20"/>
  <c r="K28" i="20"/>
  <c r="N28" i="20" s="1"/>
  <c r="L28" i="20"/>
  <c r="O28" i="20" s="1"/>
  <c r="F29" i="20"/>
  <c r="K29" i="20"/>
  <c r="L29" i="20"/>
  <c r="M29" i="20" s="1"/>
  <c r="N29" i="20"/>
  <c r="F30" i="20"/>
  <c r="K30" i="20"/>
  <c r="N30" i="20" s="1"/>
  <c r="L30" i="20"/>
  <c r="O30" i="20"/>
  <c r="F31" i="20"/>
  <c r="K31" i="20"/>
  <c r="N31" i="20" s="1"/>
  <c r="L31" i="20"/>
  <c r="O31" i="20"/>
  <c r="F32" i="20"/>
  <c r="K32" i="20"/>
  <c r="M32" i="20" s="1"/>
  <c r="L32" i="20"/>
  <c r="O32" i="20"/>
  <c r="F33" i="20"/>
  <c r="K33" i="20"/>
  <c r="N33" i="20" s="1"/>
  <c r="L33" i="20"/>
  <c r="O33" i="20" s="1"/>
  <c r="F34" i="20"/>
  <c r="K34" i="20"/>
  <c r="N34" i="20" s="1"/>
  <c r="L34" i="20"/>
  <c r="O34" i="20" s="1"/>
  <c r="R34" i="20"/>
  <c r="F35" i="20"/>
  <c r="F36" i="20" s="1"/>
  <c r="F37" i="20" s="1"/>
  <c r="F38" i="20" s="1"/>
  <c r="K35" i="20"/>
  <c r="M35" i="20" s="1"/>
  <c r="L35" i="20"/>
  <c r="O35" i="20" s="1"/>
  <c r="N35" i="20"/>
  <c r="R35" i="20"/>
  <c r="K36" i="20"/>
  <c r="L36" i="20"/>
  <c r="M36" i="20"/>
  <c r="N36" i="20"/>
  <c r="O36" i="20"/>
  <c r="Q36" i="20"/>
  <c r="R36" i="20"/>
  <c r="K37" i="20"/>
  <c r="N37" i="20" s="1"/>
  <c r="L37" i="20"/>
  <c r="O37" i="20"/>
  <c r="R37" i="20"/>
  <c r="K38" i="20"/>
  <c r="N38" i="20" s="1"/>
  <c r="L38" i="20"/>
  <c r="O38" i="20"/>
  <c r="S36" i="20" l="1"/>
  <c r="M26" i="20"/>
  <c r="M16" i="20"/>
  <c r="M7" i="20"/>
  <c r="M13" i="20"/>
  <c r="M23" i="20"/>
  <c r="M17" i="20"/>
  <c r="M8" i="20"/>
  <c r="M28" i="20"/>
  <c r="M34" i="20"/>
  <c r="M30" i="20"/>
  <c r="O24" i="20"/>
  <c r="B19" i="31"/>
  <c r="S10" i="24"/>
  <c r="V9" i="24"/>
  <c r="U9" i="24"/>
  <c r="T9" i="24"/>
  <c r="L20" i="24"/>
  <c r="P20" i="24"/>
  <c r="N19" i="24"/>
  <c r="O21" i="24"/>
  <c r="L21" i="24"/>
  <c r="P22" i="24"/>
  <c r="N23" i="24"/>
  <c r="M21" i="24"/>
  <c r="O19" i="24"/>
  <c r="L23" i="24"/>
  <c r="M23" i="24"/>
  <c r="P19" i="24"/>
  <c r="L19" i="24"/>
  <c r="P23" i="24"/>
  <c r="M22" i="24"/>
  <c r="O23" i="24"/>
  <c r="O22" i="24"/>
  <c r="N20" i="24"/>
  <c r="N21" i="24"/>
  <c r="L22" i="24"/>
  <c r="O20" i="24"/>
  <c r="N22" i="24"/>
  <c r="M20" i="24"/>
  <c r="P21" i="24"/>
  <c r="M19" i="24"/>
  <c r="N6" i="24"/>
  <c r="N5" i="24"/>
  <c r="N9" i="24"/>
  <c r="N10" i="24"/>
  <c r="N7" i="24"/>
  <c r="N8" i="24"/>
  <c r="N11" i="24"/>
  <c r="N3" i="24"/>
  <c r="N4" i="24"/>
  <c r="S11" i="23"/>
  <c r="T10" i="23"/>
  <c r="U10" i="23"/>
  <c r="V10" i="23"/>
  <c r="N3" i="23" a="1"/>
  <c r="L19" i="23" a="1"/>
  <c r="AD3" i="21" a="1"/>
  <c r="AD15" i="21" s="1"/>
  <c r="AC3" i="21" a="1"/>
  <c r="AC7" i="21" s="1"/>
  <c r="AE3" i="21" a="1"/>
  <c r="AE3" i="21" s="1"/>
  <c r="AB3" i="21"/>
  <c r="AB4" i="21"/>
  <c r="AB5" i="21"/>
  <c r="AB6" i="21"/>
  <c r="AB7" i="21"/>
  <c r="AB8" i="21"/>
  <c r="AB10" i="21"/>
  <c r="AB14" i="21"/>
  <c r="AB16" i="21"/>
  <c r="AB18" i="21"/>
  <c r="AB9" i="21"/>
  <c r="AB15" i="21"/>
  <c r="AB17" i="21"/>
  <c r="AB11" i="21"/>
  <c r="AB12" i="21"/>
  <c r="AB13" i="21"/>
  <c r="E21" i="21"/>
  <c r="C23" i="21"/>
  <c r="J24" i="21"/>
  <c r="E25" i="21"/>
  <c r="H27" i="21"/>
  <c r="D28" i="21"/>
  <c r="F21" i="21"/>
  <c r="D23" i="21"/>
  <c r="K24" i="21"/>
  <c r="F25" i="21"/>
  <c r="I27" i="21"/>
  <c r="E28" i="21"/>
  <c r="G21" i="21"/>
  <c r="E23" i="21"/>
  <c r="I21" i="21"/>
  <c r="G23" i="21"/>
  <c r="I25" i="21"/>
  <c r="H28" i="21"/>
  <c r="D29" i="21"/>
  <c r="C30" i="21"/>
  <c r="K21" i="21"/>
  <c r="C22" i="21"/>
  <c r="I23" i="21"/>
  <c r="K25" i="21"/>
  <c r="B26" i="21"/>
  <c r="J28" i="21"/>
  <c r="F29" i="21"/>
  <c r="E30" i="21"/>
  <c r="D22" i="21"/>
  <c r="J23" i="21"/>
  <c r="F22" i="21"/>
  <c r="C24" i="21"/>
  <c r="E26" i="21"/>
  <c r="H22" i="21"/>
  <c r="E24" i="21"/>
  <c r="G26" i="21"/>
  <c r="C27" i="21"/>
  <c r="K29" i="21"/>
  <c r="J30" i="21"/>
  <c r="I22" i="21"/>
  <c r="F24" i="21"/>
  <c r="H26" i="21"/>
  <c r="D21" i="21"/>
  <c r="B23" i="21"/>
  <c r="I24" i="21"/>
  <c r="D25" i="21"/>
  <c r="K26" i="21"/>
  <c r="G27" i="21"/>
  <c r="C28" i="21"/>
  <c r="B21" i="21"/>
  <c r="G22" i="21"/>
  <c r="H23" i="21"/>
  <c r="H24" i="21"/>
  <c r="F26" i="21"/>
  <c r="B27" i="21"/>
  <c r="F30" i="21"/>
  <c r="F27" i="21"/>
  <c r="C21" i="21"/>
  <c r="J22" i="21"/>
  <c r="K23" i="21"/>
  <c r="I26" i="21"/>
  <c r="D27" i="21"/>
  <c r="G30" i="21"/>
  <c r="D26" i="21"/>
  <c r="H21" i="21"/>
  <c r="K22" i="21"/>
  <c r="J26" i="21"/>
  <c r="E27" i="21"/>
  <c r="H30" i="21"/>
  <c r="I30" i="21"/>
  <c r="J29" i="21"/>
  <c r="J21" i="21"/>
  <c r="J27" i="21"/>
  <c r="K30" i="21"/>
  <c r="K27" i="21"/>
  <c r="K28" i="21"/>
  <c r="C25" i="21"/>
  <c r="B28" i="21"/>
  <c r="F28" i="21"/>
  <c r="B29" i="21"/>
  <c r="G28" i="21"/>
  <c r="I28" i="21"/>
  <c r="C29" i="21"/>
  <c r="G29" i="21"/>
  <c r="F23" i="21"/>
  <c r="B25" i="21"/>
  <c r="E29" i="21"/>
  <c r="J25" i="21"/>
  <c r="D30" i="21"/>
  <c r="B24" i="21"/>
  <c r="G25" i="21"/>
  <c r="H29" i="21"/>
  <c r="B22" i="21"/>
  <c r="D24" i="21"/>
  <c r="H25" i="21"/>
  <c r="C26" i="21"/>
  <c r="I29" i="21"/>
  <c r="B30" i="21"/>
  <c r="E22" i="21"/>
  <c r="G24" i="21"/>
  <c r="Y3" i="21" a="1"/>
  <c r="C48" i="21"/>
  <c r="C49" i="21"/>
  <c r="M21" i="20"/>
  <c r="M9" i="20"/>
  <c r="O29" i="20"/>
  <c r="M19" i="20"/>
  <c r="M12" i="20"/>
  <c r="M4" i="20"/>
  <c r="M6" i="20"/>
  <c r="Q38" i="20"/>
  <c r="S38" i="20" s="1"/>
  <c r="U38" i="20" s="1"/>
  <c r="M37" i="20"/>
  <c r="M15" i="20"/>
  <c r="M22" i="20"/>
  <c r="M3" i="20"/>
  <c r="M14" i="20"/>
  <c r="M38" i="20"/>
  <c r="N21" i="20"/>
  <c r="N14" i="20"/>
  <c r="M33" i="20"/>
  <c r="M10" i="20"/>
  <c r="M11" i="20"/>
  <c r="O17" i="20"/>
  <c r="N18" i="20"/>
  <c r="N32" i="20"/>
  <c r="O7" i="20"/>
  <c r="N6" i="20"/>
  <c r="M31" i="20"/>
  <c r="N26" i="20"/>
  <c r="N9" i="20"/>
  <c r="P3" i="19"/>
  <c r="P4" i="19"/>
  <c r="P5" i="19"/>
  <c r="P6" i="19"/>
  <c r="P7" i="19"/>
  <c r="P8" i="19"/>
  <c r="P9" i="19"/>
  <c r="P10" i="19"/>
  <c r="B11" i="19"/>
  <c r="C11" i="19"/>
  <c r="D11" i="19"/>
  <c r="E11" i="19"/>
  <c r="B12" i="19"/>
  <c r="G10" i="19" s="1"/>
  <c r="C12" i="19"/>
  <c r="H5" i="19" s="1"/>
  <c r="D12" i="19"/>
  <c r="I5" i="19" s="1"/>
  <c r="S5" i="19" s="1"/>
  <c r="E12" i="19"/>
  <c r="E3" i="18"/>
  <c r="F3" i="18" s="1"/>
  <c r="E4" i="18"/>
  <c r="F4" i="18" s="1"/>
  <c r="E5" i="18"/>
  <c r="F5" i="18" s="1"/>
  <c r="E6" i="18"/>
  <c r="F6" i="18" s="1"/>
  <c r="E7" i="18"/>
  <c r="F7" i="18" s="1"/>
  <c r="E8" i="18"/>
  <c r="F8" i="18" s="1"/>
  <c r="G8" i="18" s="1"/>
  <c r="E9" i="18"/>
  <c r="F9" i="18" s="1"/>
  <c r="G9" i="18" s="1"/>
  <c r="C10" i="18"/>
  <c r="F3" i="17"/>
  <c r="G3" i="17"/>
  <c r="K3" i="17" s="1"/>
  <c r="H3" i="17"/>
  <c r="R3" i="17" s="1"/>
  <c r="AB3" i="17" s="1"/>
  <c r="I3" i="17"/>
  <c r="L3" i="17"/>
  <c r="N3" i="17"/>
  <c r="P3" i="17"/>
  <c r="Q3" i="17"/>
  <c r="T3" i="17"/>
  <c r="U3" i="17"/>
  <c r="AE3" i="17" s="1"/>
  <c r="V3" i="17"/>
  <c r="Y3" i="17"/>
  <c r="AG3" i="17"/>
  <c r="F4" i="17"/>
  <c r="J4" i="17" s="1"/>
  <c r="W4" i="17" s="1"/>
  <c r="G4" i="17"/>
  <c r="K4" i="17" s="1"/>
  <c r="H4" i="17"/>
  <c r="R4" i="17" s="1"/>
  <c r="I4" i="17"/>
  <c r="L4" i="17"/>
  <c r="F5" i="17"/>
  <c r="O5" i="17" s="1"/>
  <c r="G5" i="17"/>
  <c r="P5" i="17" s="1"/>
  <c r="H5" i="17"/>
  <c r="R5" i="17" s="1"/>
  <c r="I5" i="17"/>
  <c r="L5" i="17"/>
  <c r="F6" i="17"/>
  <c r="G6" i="17"/>
  <c r="H6" i="17"/>
  <c r="R6" i="17" s="1"/>
  <c r="I6" i="17"/>
  <c r="L6" i="17"/>
  <c r="F7" i="17"/>
  <c r="G7" i="17"/>
  <c r="K7" i="17" s="1"/>
  <c r="H7" i="17"/>
  <c r="I7" i="17"/>
  <c r="V7" i="17" s="1"/>
  <c r="L7" i="17"/>
  <c r="Y7" i="17" s="1"/>
  <c r="P7" i="17"/>
  <c r="R7" i="17"/>
  <c r="AC7" i="17" s="1"/>
  <c r="T7" i="17"/>
  <c r="F8" i="17"/>
  <c r="J8" i="17" s="1"/>
  <c r="G8" i="17"/>
  <c r="K8" i="17" s="1"/>
  <c r="H8" i="17"/>
  <c r="R8" i="17" s="1"/>
  <c r="I8" i="17"/>
  <c r="L8" i="17"/>
  <c r="F9" i="17"/>
  <c r="O9" i="17" s="1"/>
  <c r="G9" i="17"/>
  <c r="P9" i="17" s="1"/>
  <c r="H9" i="17"/>
  <c r="R9" i="17" s="1"/>
  <c r="I9" i="17"/>
  <c r="L9" i="17"/>
  <c r="N9" i="17"/>
  <c r="F10" i="17"/>
  <c r="G10" i="17"/>
  <c r="K10" i="17" s="1"/>
  <c r="H10" i="17"/>
  <c r="T10" i="17" s="1"/>
  <c r="I10" i="17"/>
  <c r="V10" i="17" s="1"/>
  <c r="L10" i="17"/>
  <c r="G7" i="18" l="1"/>
  <c r="U9" i="17"/>
  <c r="AE9" i="17" s="1"/>
  <c r="M5" i="17"/>
  <c r="Z5" i="17" s="1"/>
  <c r="S3" i="17"/>
  <c r="AD3" i="17" s="1"/>
  <c r="G4" i="18"/>
  <c r="AG9" i="17"/>
  <c r="X7" i="17"/>
  <c r="Y5" i="17"/>
  <c r="G3" i="18"/>
  <c r="Q13" i="20" a="1"/>
  <c r="U17" i="20" s="1"/>
  <c r="Q3" i="20" a="1"/>
  <c r="Q9" i="20" s="1"/>
  <c r="G6" i="18"/>
  <c r="M9" i="17"/>
  <c r="Z9" i="17" s="1"/>
  <c r="X9" i="17"/>
  <c r="AF9" i="17" s="1"/>
  <c r="W8" i="17"/>
  <c r="N5" i="17"/>
  <c r="G5" i="18"/>
  <c r="B20" i="31"/>
  <c r="V10" i="24"/>
  <c r="S11" i="24"/>
  <c r="U10" i="24"/>
  <c r="T10" i="24"/>
  <c r="M19" i="23"/>
  <c r="M22" i="23"/>
  <c r="L19" i="23"/>
  <c r="M20" i="23"/>
  <c r="N19" i="23"/>
  <c r="L21" i="23"/>
  <c r="O19" i="23"/>
  <c r="M21" i="23"/>
  <c r="P19" i="23"/>
  <c r="N21" i="23"/>
  <c r="L23" i="23"/>
  <c r="O21" i="23"/>
  <c r="M23" i="23"/>
  <c r="N23" i="23"/>
  <c r="O23" i="23"/>
  <c r="P23" i="23"/>
  <c r="L20" i="23"/>
  <c r="P21" i="23"/>
  <c r="L22" i="23"/>
  <c r="P20" i="23"/>
  <c r="N22" i="23"/>
  <c r="O22" i="23"/>
  <c r="P22" i="23"/>
  <c r="N20" i="23"/>
  <c r="O20" i="23"/>
  <c r="N6" i="23"/>
  <c r="N9" i="23"/>
  <c r="N4" i="23"/>
  <c r="N7" i="23"/>
  <c r="N10" i="23"/>
  <c r="N8" i="23"/>
  <c r="N5" i="23"/>
  <c r="N11" i="23"/>
  <c r="N3" i="23"/>
  <c r="U11" i="23"/>
  <c r="V11" i="23"/>
  <c r="T11" i="23"/>
  <c r="S12" i="23"/>
  <c r="AD11" i="21"/>
  <c r="AC13" i="21"/>
  <c r="AD12" i="21"/>
  <c r="AC5" i="21"/>
  <c r="AD13" i="21"/>
  <c r="AC16" i="21"/>
  <c r="AD9" i="21"/>
  <c r="AC11" i="21"/>
  <c r="AD16" i="21"/>
  <c r="AD7" i="21"/>
  <c r="AC9" i="21"/>
  <c r="AD5" i="21"/>
  <c r="AC6" i="21"/>
  <c r="AD3" i="21"/>
  <c r="AC17" i="21"/>
  <c r="AD4" i="21"/>
  <c r="AC15" i="21"/>
  <c r="AC14" i="21"/>
  <c r="AC12" i="21"/>
  <c r="AC10" i="21"/>
  <c r="AD18" i="21"/>
  <c r="AC8" i="21"/>
  <c r="AD17" i="21"/>
  <c r="AC4" i="21"/>
  <c r="AD10" i="21"/>
  <c r="AC3" i="21"/>
  <c r="AD6" i="21"/>
  <c r="AC18" i="21"/>
  <c r="AD14" i="21"/>
  <c r="AD8" i="21"/>
  <c r="AE11" i="21"/>
  <c r="AE15" i="21"/>
  <c r="AE9" i="21"/>
  <c r="AE7" i="21"/>
  <c r="AE5" i="21"/>
  <c r="AE13" i="21"/>
  <c r="AE18" i="21"/>
  <c r="AE16" i="21"/>
  <c r="AE14" i="21"/>
  <c r="AE12" i="21"/>
  <c r="AE10" i="21"/>
  <c r="AE8" i="21"/>
  <c r="AE4" i="21"/>
  <c r="AE6" i="21"/>
  <c r="AE17" i="21"/>
  <c r="X20" i="21" a="1"/>
  <c r="X21" i="21" s="1"/>
  <c r="M33" i="21" a="1"/>
  <c r="Y4" i="21"/>
  <c r="Y6" i="21"/>
  <c r="Y8" i="21"/>
  <c r="Y10" i="21"/>
  <c r="Y12" i="21"/>
  <c r="Y14" i="21"/>
  <c r="Y16" i="21"/>
  <c r="Y18" i="21"/>
  <c r="Y3" i="21"/>
  <c r="Y5" i="21"/>
  <c r="Y7" i="21"/>
  <c r="Y9" i="21"/>
  <c r="Y11" i="21"/>
  <c r="Y13" i="21"/>
  <c r="Y15" i="21"/>
  <c r="Y17" i="21"/>
  <c r="V23" i="20" a="1"/>
  <c r="V28" i="20" s="1"/>
  <c r="I8" i="19"/>
  <c r="S8" i="19" s="1"/>
  <c r="G3" i="19"/>
  <c r="Q3" i="19" s="1"/>
  <c r="H4" i="19"/>
  <c r="R4" i="19" s="1"/>
  <c r="G4" i="19"/>
  <c r="Q10" i="19"/>
  <c r="L5" i="19"/>
  <c r="R5" i="19"/>
  <c r="H10" i="19"/>
  <c r="J10" i="19" s="1"/>
  <c r="H6" i="19"/>
  <c r="I6" i="19"/>
  <c r="S6" i="19" s="1"/>
  <c r="I7" i="19"/>
  <c r="S7" i="19" s="1"/>
  <c r="G6" i="19"/>
  <c r="H7" i="19"/>
  <c r="G7" i="19"/>
  <c r="G5" i="19"/>
  <c r="H8" i="19"/>
  <c r="I9" i="19"/>
  <c r="S9" i="19" s="1"/>
  <c r="I10" i="19"/>
  <c r="S10" i="19" s="1"/>
  <c r="H9" i="19"/>
  <c r="I3" i="19"/>
  <c r="S3" i="19" s="1"/>
  <c r="G8" i="19"/>
  <c r="I4" i="19"/>
  <c r="S4" i="19" s="1"/>
  <c r="H3" i="19"/>
  <c r="G9" i="19"/>
  <c r="T6" i="17"/>
  <c r="K5" i="17"/>
  <c r="K9" i="17"/>
  <c r="N7" i="17"/>
  <c r="J9" i="17"/>
  <c r="W9" i="17" s="1"/>
  <c r="S10" i="17"/>
  <c r="AD10" i="17" s="1"/>
  <c r="R10" i="17"/>
  <c r="AC10" i="17" s="1"/>
  <c r="P10" i="17"/>
  <c r="AF7" i="17"/>
  <c r="X8" i="17"/>
  <c r="AF8" i="17" s="1"/>
  <c r="S6" i="17"/>
  <c r="AA5" i="17"/>
  <c r="N10" i="17"/>
  <c r="AA9" i="17"/>
  <c r="S7" i="17"/>
  <c r="AD7" i="17" s="1"/>
  <c r="AD6" i="17"/>
  <c r="AC6" i="17"/>
  <c r="Y6" i="17"/>
  <c r="U7" i="17"/>
  <c r="AE7" i="17" s="1"/>
  <c r="U5" i="17"/>
  <c r="AE5" i="17" s="1"/>
  <c r="O6" i="17"/>
  <c r="AA6" i="17" s="1"/>
  <c r="AG6" i="17"/>
  <c r="O10" i="17"/>
  <c r="AA10" i="17" s="1"/>
  <c r="P6" i="17"/>
  <c r="M10" i="17"/>
  <c r="Z10" i="17" s="1"/>
  <c r="Q7" i="17"/>
  <c r="N6" i="17"/>
  <c r="J10" i="17"/>
  <c r="W10" i="17" s="1"/>
  <c r="K6" i="17"/>
  <c r="U10" i="17"/>
  <c r="AE10" i="17" s="1"/>
  <c r="AB6" i="17"/>
  <c r="J5" i="17"/>
  <c r="W5" i="17" s="1"/>
  <c r="X10" i="17"/>
  <c r="AF10" i="17" s="1"/>
  <c r="M6" i="17"/>
  <c r="Z6" i="17" s="1"/>
  <c r="Y8" i="17"/>
  <c r="X4" i="17"/>
  <c r="AF4" i="17" s="1"/>
  <c r="AG10" i="17"/>
  <c r="U8" i="17"/>
  <c r="AE8" i="17" s="1"/>
  <c r="U6" i="17"/>
  <c r="AE6" i="17" s="1"/>
  <c r="AG7" i="17"/>
  <c r="Q10" i="17"/>
  <c r="Q6" i="17"/>
  <c r="X6" i="17"/>
  <c r="AF6" i="17" s="1"/>
  <c r="J6" i="17"/>
  <c r="W6" i="17" s="1"/>
  <c r="U4" i="17"/>
  <c r="AE4" i="17" s="1"/>
  <c r="X3" i="17"/>
  <c r="AF3" i="17" s="1"/>
  <c r="AC9" i="17"/>
  <c r="AB9" i="17"/>
  <c r="AB5" i="17"/>
  <c r="AC5" i="17"/>
  <c r="AB4" i="17"/>
  <c r="AC4" i="17"/>
  <c r="AC8" i="17"/>
  <c r="AB8" i="17"/>
  <c r="Y4" i="17"/>
  <c r="Y9" i="17"/>
  <c r="T8" i="17"/>
  <c r="X5" i="17"/>
  <c r="AF5" i="17" s="1"/>
  <c r="T4" i="17"/>
  <c r="S8" i="17"/>
  <c r="AD8" i="17" s="1"/>
  <c r="O7" i="17"/>
  <c r="AA7" i="17" s="1"/>
  <c r="S4" i="17"/>
  <c r="AD4" i="17" s="1"/>
  <c r="O3" i="17"/>
  <c r="AA3" i="17" s="1"/>
  <c r="V9" i="17"/>
  <c r="V5" i="17"/>
  <c r="V8" i="17"/>
  <c r="Y10" i="17"/>
  <c r="AG8" i="17"/>
  <c r="M7" i="17"/>
  <c r="Z7" i="17" s="1"/>
  <c r="AG4" i="17"/>
  <c r="Q4" i="17"/>
  <c r="AC3" i="17"/>
  <c r="M3" i="17"/>
  <c r="Z3" i="17" s="1"/>
  <c r="Q8" i="17"/>
  <c r="T9" i="17"/>
  <c r="P8" i="17"/>
  <c r="AB7" i="17"/>
  <c r="T5" i="17"/>
  <c r="P4" i="17"/>
  <c r="S9" i="17"/>
  <c r="AD9" i="17" s="1"/>
  <c r="O8" i="17"/>
  <c r="AA8" i="17" s="1"/>
  <c r="S5" i="17"/>
  <c r="AD5" i="17" s="1"/>
  <c r="O4" i="17"/>
  <c r="AA4" i="17" s="1"/>
  <c r="V4" i="17"/>
  <c r="N8" i="17"/>
  <c r="J7" i="17"/>
  <c r="W7" i="17" s="1"/>
  <c r="V6" i="17"/>
  <c r="N4" i="17"/>
  <c r="J3" i="17"/>
  <c r="M8" i="17"/>
  <c r="Z8" i="17" s="1"/>
  <c r="AG5" i="17"/>
  <c r="Q5" i="17"/>
  <c r="M4" i="17"/>
  <c r="Z4" i="17" s="1"/>
  <c r="Q9" i="17"/>
  <c r="H3" i="16"/>
  <c r="K14" i="16" s="1"/>
  <c r="I3" i="16"/>
  <c r="K3" i="16"/>
  <c r="H4" i="16"/>
  <c r="I4" i="16"/>
  <c r="K4" i="16"/>
  <c r="H5" i="16"/>
  <c r="I5" i="16"/>
  <c r="K5" i="16" s="1"/>
  <c r="H6" i="16"/>
  <c r="I6" i="16"/>
  <c r="K6" i="16" s="1"/>
  <c r="B7" i="16"/>
  <c r="C7" i="16"/>
  <c r="H7" i="16"/>
  <c r="I7" i="16"/>
  <c r="H8" i="16"/>
  <c r="I8" i="16"/>
  <c r="H9" i="16"/>
  <c r="I9" i="16"/>
  <c r="H10" i="16"/>
  <c r="I10" i="16"/>
  <c r="N11" i="16"/>
  <c r="I12" i="16" a="1"/>
  <c r="I12" i="16" s="1"/>
  <c r="K12" i="16"/>
  <c r="N13" i="16"/>
  <c r="K16" i="16"/>
  <c r="AB20" i="21" a="1"/>
  <c r="W8" i="20" l="1"/>
  <c r="S20" i="20"/>
  <c r="X19" i="20"/>
  <c r="Q6" i="20"/>
  <c r="S18" i="20"/>
  <c r="X20" i="20"/>
  <c r="Q8" i="20"/>
  <c r="X13" i="20"/>
  <c r="W19" i="20"/>
  <c r="V8" i="20"/>
  <c r="V4" i="20"/>
  <c r="W20" i="20"/>
  <c r="W15" i="20"/>
  <c r="X4" i="20"/>
  <c r="W10" i="20"/>
  <c r="V19" i="20"/>
  <c r="V14" i="20"/>
  <c r="V9" i="20"/>
  <c r="Q17" i="20"/>
  <c r="Q16" i="20"/>
  <c r="X9" i="20"/>
  <c r="R7" i="20"/>
  <c r="W9" i="20"/>
  <c r="W3" i="20"/>
  <c r="U19" i="20"/>
  <c r="X18" i="20"/>
  <c r="U4" i="20"/>
  <c r="U9" i="20"/>
  <c r="T18" i="20"/>
  <c r="W17" i="20"/>
  <c r="T3" i="20"/>
  <c r="T8" i="20"/>
  <c r="N3" i="16"/>
  <c r="N12" i="16"/>
  <c r="N14" i="16" s="1"/>
  <c r="N15" i="16" s="1"/>
  <c r="W18" i="20"/>
  <c r="A12" i="16" a="1"/>
  <c r="B13" i="16" s="1"/>
  <c r="J4" i="19"/>
  <c r="S16" i="20"/>
  <c r="Q15" i="20"/>
  <c r="R20" i="20"/>
  <c r="X15" i="20"/>
  <c r="W16" i="20"/>
  <c r="T14" i="20"/>
  <c r="U16" i="20"/>
  <c r="T16" i="20"/>
  <c r="V3" i="20"/>
  <c r="V6" i="20"/>
  <c r="T5" i="20"/>
  <c r="S5" i="20"/>
  <c r="S6" i="20"/>
  <c r="Q5" i="20"/>
  <c r="R8" i="20"/>
  <c r="U3" i="20"/>
  <c r="AB10" i="17"/>
  <c r="R15" i="20"/>
  <c r="T20" i="20"/>
  <c r="Q19" i="20"/>
  <c r="W14" i="20"/>
  <c r="V15" i="20"/>
  <c r="S13" i="20"/>
  <c r="S15" i="20"/>
  <c r="X7" i="20"/>
  <c r="U5" i="20"/>
  <c r="S4" i="20"/>
  <c r="R4" i="20"/>
  <c r="R5" i="20"/>
  <c r="U10" i="20"/>
  <c r="Q7" i="20"/>
  <c r="Q10" i="20"/>
  <c r="T15" i="20"/>
  <c r="K7" i="16"/>
  <c r="K8" i="16" s="1"/>
  <c r="K9" i="16" s="1"/>
  <c r="K10" i="16" s="1"/>
  <c r="Q14" i="20"/>
  <c r="S19" i="20"/>
  <c r="Q20" i="20"/>
  <c r="V13" i="20"/>
  <c r="U14" i="20"/>
  <c r="U20" i="20"/>
  <c r="S14" i="20"/>
  <c r="R14" i="20"/>
  <c r="W6" i="20"/>
  <c r="T4" i="20"/>
  <c r="R3" i="20"/>
  <c r="Q3" i="20"/>
  <c r="Q4" i="20"/>
  <c r="T9" i="20"/>
  <c r="S10" i="20"/>
  <c r="X6" i="20"/>
  <c r="N4" i="16"/>
  <c r="N5" i="16"/>
  <c r="V20" i="20"/>
  <c r="R18" i="20"/>
  <c r="R17" i="20"/>
  <c r="X16" i="20"/>
  <c r="T13" i="20"/>
  <c r="T19" i="20"/>
  <c r="R13" i="20"/>
  <c r="Q13" i="20"/>
  <c r="V5" i="20"/>
  <c r="S3" i="20"/>
  <c r="X10" i="20"/>
  <c r="W5" i="20"/>
  <c r="V10" i="20"/>
  <c r="S8" i="20"/>
  <c r="R9" i="20"/>
  <c r="X3" i="20"/>
  <c r="U18" i="20"/>
  <c r="S17" i="20"/>
  <c r="R19" i="20"/>
  <c r="X14" i="20"/>
  <c r="U13" i="20"/>
  <c r="V16" i="20"/>
  <c r="V18" i="20"/>
  <c r="X5" i="20"/>
  <c r="X8" i="20"/>
  <c r="V7" i="20"/>
  <c r="U7" i="20"/>
  <c r="U8" i="20"/>
  <c r="S7" i="20"/>
  <c r="T10" i="20"/>
  <c r="R10" i="20"/>
  <c r="T17" i="20"/>
  <c r="R16" i="20"/>
  <c r="Q18" i="20"/>
  <c r="W13" i="20"/>
  <c r="X17" i="20"/>
  <c r="U15" i="20"/>
  <c r="V17" i="20"/>
  <c r="W4" i="20"/>
  <c r="W7" i="20"/>
  <c r="U6" i="20"/>
  <c r="T6" i="20"/>
  <c r="T7" i="20"/>
  <c r="R6" i="20"/>
  <c r="S9" i="20"/>
  <c r="B21" i="31"/>
  <c r="V11" i="24"/>
  <c r="U11" i="24"/>
  <c r="T11" i="24"/>
  <c r="S12" i="24"/>
  <c r="U12" i="23"/>
  <c r="T12" i="23"/>
  <c r="V12" i="23"/>
  <c r="S13" i="23"/>
  <c r="AB20" i="21"/>
  <c r="AD20" i="21"/>
  <c r="AE20" i="21"/>
  <c r="AE21" i="21"/>
  <c r="AC22" i="21"/>
  <c r="AE22" i="21"/>
  <c r="AC23" i="21"/>
  <c r="AC20" i="21"/>
  <c r="AB21" i="21"/>
  <c r="AB22" i="21"/>
  <c r="AD22" i="21"/>
  <c r="AB23" i="21"/>
  <c r="AD23" i="21"/>
  <c r="AC21" i="21"/>
  <c r="AE23" i="21"/>
  <c r="AD21" i="21"/>
  <c r="X25" i="21"/>
  <c r="X28" i="21"/>
  <c r="X26" i="21"/>
  <c r="X23" i="21"/>
  <c r="X27" i="21"/>
  <c r="X20" i="21"/>
  <c r="X24" i="21"/>
  <c r="X22" i="21"/>
  <c r="X29" i="21"/>
  <c r="T33" i="21"/>
  <c r="N42" i="21"/>
  <c r="V34" i="21"/>
  <c r="T36" i="21"/>
  <c r="V35" i="21"/>
  <c r="V33" i="21"/>
  <c r="U41" i="21"/>
  <c r="V36" i="21"/>
  <c r="T41" i="21"/>
  <c r="P35" i="21"/>
  <c r="Q40" i="21"/>
  <c r="N40" i="21"/>
  <c r="M37" i="21"/>
  <c r="T38" i="21"/>
  <c r="Q36" i="21"/>
  <c r="M36" i="21"/>
  <c r="Q34" i="21"/>
  <c r="V37" i="21"/>
  <c r="V41" i="21"/>
  <c r="M35" i="21"/>
  <c r="R34" i="21"/>
  <c r="U37" i="21"/>
  <c r="P40" i="21"/>
  <c r="R36" i="21"/>
  <c r="S36" i="21"/>
  <c r="N38" i="21"/>
  <c r="O41" i="21"/>
  <c r="U38" i="21"/>
  <c r="T40" i="21"/>
  <c r="Q37" i="21"/>
  <c r="R35" i="21"/>
  <c r="M42" i="21"/>
  <c r="T34" i="21"/>
  <c r="R38" i="21"/>
  <c r="O35" i="21"/>
  <c r="Q38" i="21"/>
  <c r="O39" i="21"/>
  <c r="N34" i="21"/>
  <c r="N35" i="21"/>
  <c r="S40" i="21"/>
  <c r="P33" i="21"/>
  <c r="U35" i="21"/>
  <c r="N33" i="21"/>
  <c r="T35" i="21"/>
  <c r="S34" i="21"/>
  <c r="M40" i="21"/>
  <c r="Q35" i="21"/>
  <c r="V42" i="21"/>
  <c r="S39" i="21"/>
  <c r="Q42" i="21"/>
  <c r="S33" i="21"/>
  <c r="T37" i="21"/>
  <c r="M38" i="21"/>
  <c r="P34" i="21"/>
  <c r="T42" i="21"/>
  <c r="P36" i="21"/>
  <c r="S37" i="21"/>
  <c r="R33" i="21"/>
  <c r="Q39" i="21"/>
  <c r="R39" i="21"/>
  <c r="S42" i="21"/>
  <c r="R37" i="21"/>
  <c r="R40" i="21"/>
  <c r="P41" i="21"/>
  <c r="N39" i="21"/>
  <c r="U33" i="21"/>
  <c r="R41" i="21"/>
  <c r="T39" i="21"/>
  <c r="U42" i="21"/>
  <c r="N37" i="21"/>
  <c r="O40" i="21"/>
  <c r="Q41" i="21"/>
  <c r="N41" i="21"/>
  <c r="M34" i="21"/>
  <c r="O42" i="21"/>
  <c r="U34" i="21"/>
  <c r="V39" i="21"/>
  <c r="V40" i="21"/>
  <c r="V38" i="21"/>
  <c r="M39" i="21"/>
  <c r="P37" i="21"/>
  <c r="M41" i="21"/>
  <c r="R42" i="21"/>
  <c r="U39" i="21"/>
  <c r="U36" i="21"/>
  <c r="N36" i="21"/>
  <c r="S41" i="21"/>
  <c r="O38" i="21"/>
  <c r="U40" i="21"/>
  <c r="P38" i="21"/>
  <c r="Q33" i="21"/>
  <c r="S35" i="21"/>
  <c r="O36" i="21"/>
  <c r="O33" i="21"/>
  <c r="O34" i="21"/>
  <c r="M33" i="21"/>
  <c r="O37" i="21"/>
  <c r="P39" i="21"/>
  <c r="P42" i="21"/>
  <c r="S38" i="21"/>
  <c r="B49" i="21"/>
  <c r="D49" i="21" s="1"/>
  <c r="B48" i="21"/>
  <c r="D48" i="21" s="1"/>
  <c r="V23" i="20"/>
  <c r="V29" i="20"/>
  <c r="V30" i="20"/>
  <c r="V24" i="20"/>
  <c r="V26" i="20"/>
  <c r="V27" i="20"/>
  <c r="V25" i="20"/>
  <c r="Q4" i="19"/>
  <c r="L6" i="19"/>
  <c r="R6" i="19"/>
  <c r="M9" i="19"/>
  <c r="J9" i="19"/>
  <c r="K9" i="19"/>
  <c r="Q9" i="19"/>
  <c r="L3" i="19"/>
  <c r="R3" i="19"/>
  <c r="L4" i="19"/>
  <c r="M4" i="19"/>
  <c r="Q8" i="19"/>
  <c r="J8" i="19"/>
  <c r="K8" i="19"/>
  <c r="M8" i="19"/>
  <c r="J5" i="19"/>
  <c r="K5" i="19"/>
  <c r="M5" i="19"/>
  <c r="Q5" i="19"/>
  <c r="M10" i="19"/>
  <c r="K10" i="19"/>
  <c r="K7" i="19"/>
  <c r="Q7" i="19"/>
  <c r="J7" i="19"/>
  <c r="M7" i="19"/>
  <c r="R9" i="19"/>
  <c r="L9" i="19"/>
  <c r="L7" i="19"/>
  <c r="R7" i="19"/>
  <c r="R8" i="19"/>
  <c r="L8" i="19"/>
  <c r="M3" i="19"/>
  <c r="L10" i="19"/>
  <c r="R10" i="19"/>
  <c r="K4" i="19"/>
  <c r="M6" i="19"/>
  <c r="Q6" i="19"/>
  <c r="J6" i="19"/>
  <c r="K6" i="19"/>
  <c r="K3" i="19"/>
  <c r="J3" i="19"/>
  <c r="H14" i="17" a="1"/>
  <c r="W3" i="17"/>
  <c r="M13" i="16"/>
  <c r="O13" i="16" s="1"/>
  <c r="Q13" i="16" s="1"/>
  <c r="C15" i="16"/>
  <c r="B15" i="16"/>
  <c r="C13" i="16"/>
  <c r="C14" i="16"/>
  <c r="D14" i="16"/>
  <c r="D12" i="16"/>
  <c r="E12" i="16" a="1"/>
  <c r="M5" i="16"/>
  <c r="I15" i="16"/>
  <c r="I13" i="16"/>
  <c r="I14" i="16"/>
  <c r="D15" i="16" l="1"/>
  <c r="A13" i="16"/>
  <c r="A14" i="16"/>
  <c r="A15" i="16"/>
  <c r="D13" i="16"/>
  <c r="B12" i="16"/>
  <c r="B14" i="16"/>
  <c r="A12" i="16"/>
  <c r="C12" i="16"/>
  <c r="B22" i="31"/>
  <c r="V12" i="24"/>
  <c r="U12" i="24"/>
  <c r="T12" i="24"/>
  <c r="S13" i="24"/>
  <c r="U13" i="23"/>
  <c r="T13" i="23"/>
  <c r="V13" i="23"/>
  <c r="S14" i="23"/>
  <c r="Q23" i="20" a="1"/>
  <c r="Q27" i="20" s="1"/>
  <c r="AC26" i="21"/>
  <c r="AC28" i="21"/>
  <c r="AC27" i="21"/>
  <c r="AC25" i="21"/>
  <c r="E48" i="21"/>
  <c r="F48" i="21" s="1"/>
  <c r="H14" i="17"/>
  <c r="X14" i="17"/>
  <c r="N15" i="17"/>
  <c r="AD15" i="17"/>
  <c r="T16" i="17"/>
  <c r="J17" i="17"/>
  <c r="Z17" i="17"/>
  <c r="P18" i="17"/>
  <c r="AF18" i="17"/>
  <c r="V19" i="17"/>
  <c r="Y14" i="17"/>
  <c r="O15" i="17"/>
  <c r="U16" i="17"/>
  <c r="AA17" i="17"/>
  <c r="AG18" i="17"/>
  <c r="W19" i="17"/>
  <c r="AF15" i="17"/>
  <c r="AB17" i="17"/>
  <c r="R18" i="17"/>
  <c r="X19" i="17"/>
  <c r="Y18" i="17"/>
  <c r="T17" i="17"/>
  <c r="AE16" i="17"/>
  <c r="T14" i="17"/>
  <c r="W17" i="17"/>
  <c r="R16" i="17"/>
  <c r="O18" i="17"/>
  <c r="I14" i="17"/>
  <c r="AE15" i="17"/>
  <c r="K17" i="17"/>
  <c r="Q18" i="17"/>
  <c r="J14" i="17"/>
  <c r="P15" i="17"/>
  <c r="L17" i="17"/>
  <c r="Y19" i="17"/>
  <c r="AE19" i="17"/>
  <c r="Z15" i="17"/>
  <c r="AG16" i="17"/>
  <c r="U19" i="17"/>
  <c r="Z14" i="17"/>
  <c r="V16" i="17"/>
  <c r="H19" i="17"/>
  <c r="H15" i="17"/>
  <c r="U17" i="17"/>
  <c r="P16" i="17"/>
  <c r="Q16" i="17"/>
  <c r="T19" i="17"/>
  <c r="K14" i="17"/>
  <c r="AA14" i="17"/>
  <c r="Q15" i="17"/>
  <c r="AG15" i="17"/>
  <c r="W16" i="17"/>
  <c r="M17" i="17"/>
  <c r="AC17" i="17"/>
  <c r="S18" i="17"/>
  <c r="I19" i="17"/>
  <c r="R14" i="17"/>
  <c r="P19" i="17"/>
  <c r="I15" i="17"/>
  <c r="V17" i="17"/>
  <c r="U14" i="17"/>
  <c r="W14" i="17"/>
  <c r="L14" i="17"/>
  <c r="AB14" i="17"/>
  <c r="R15" i="17"/>
  <c r="H16" i="17"/>
  <c r="X16" i="17"/>
  <c r="N17" i="17"/>
  <c r="AD17" i="17"/>
  <c r="T18" i="17"/>
  <c r="J19" i="17"/>
  <c r="Z19" i="17"/>
  <c r="J16" i="17"/>
  <c r="V18" i="17"/>
  <c r="AG17" i="17"/>
  <c r="AF14" i="17"/>
  <c r="R17" i="17"/>
  <c r="N19" i="17"/>
  <c r="AC16" i="17"/>
  <c r="Z18" i="17"/>
  <c r="O16" i="17"/>
  <c r="Q19" i="17"/>
  <c r="R19" i="17"/>
  <c r="AA15" i="17"/>
  <c r="AC18" i="17"/>
  <c r="N18" i="17"/>
  <c r="M14" i="17"/>
  <c r="AC14" i="17"/>
  <c r="S15" i="17"/>
  <c r="I16" i="17"/>
  <c r="Y16" i="17"/>
  <c r="O17" i="17"/>
  <c r="AE17" i="17"/>
  <c r="U18" i="17"/>
  <c r="K19" i="17"/>
  <c r="AA19" i="17"/>
  <c r="N14" i="17"/>
  <c r="T15" i="17"/>
  <c r="Z16" i="17"/>
  <c r="AF17" i="17"/>
  <c r="AB19" i="17"/>
  <c r="O14" i="17"/>
  <c r="K16" i="17"/>
  <c r="W18" i="17"/>
  <c r="AC19" i="17"/>
  <c r="P14" i="17"/>
  <c r="L16" i="17"/>
  <c r="X18" i="17"/>
  <c r="I18" i="17"/>
  <c r="M15" i="17"/>
  <c r="AD14" i="17"/>
  <c r="P17" i="17"/>
  <c r="L19" i="17"/>
  <c r="AE14" i="17"/>
  <c r="U15" i="17"/>
  <c r="Q17" i="17"/>
  <c r="M19" i="17"/>
  <c r="H18" i="17"/>
  <c r="S17" i="17"/>
  <c r="J18" i="17"/>
  <c r="Y15" i="17"/>
  <c r="AG19" i="17"/>
  <c r="M18" i="17"/>
  <c r="AB15" i="17"/>
  <c r="Y17" i="17"/>
  <c r="AA16" i="17"/>
  <c r="AB16" i="17"/>
  <c r="AD19" i="17"/>
  <c r="M16" i="17"/>
  <c r="X15" i="17"/>
  <c r="AF19" i="17"/>
  <c r="J15" i="17"/>
  <c r="K15" i="17"/>
  <c r="X17" i="17"/>
  <c r="AE18" i="17"/>
  <c r="V15" i="17"/>
  <c r="N16" i="17"/>
  <c r="AA18" i="17"/>
  <c r="AB18" i="17"/>
  <c r="Q14" i="17"/>
  <c r="AG14" i="17"/>
  <c r="W15" i="17"/>
  <c r="O19" i="17"/>
  <c r="AD16" i="17"/>
  <c r="AF16" i="17"/>
  <c r="V14" i="17"/>
  <c r="I17" i="17"/>
  <c r="K18" i="17"/>
  <c r="L18" i="17"/>
  <c r="L15" i="17"/>
  <c r="S16" i="17"/>
  <c r="S14" i="17"/>
  <c r="S19" i="17"/>
  <c r="AD18" i="17"/>
  <c r="AC15" i="17"/>
  <c r="H17" i="17"/>
  <c r="G13" i="16"/>
  <c r="G12" i="16"/>
  <c r="E13" i="16"/>
  <c r="H13" i="16"/>
  <c r="E12" i="16"/>
  <c r="F12" i="16"/>
  <c r="E14" i="16"/>
  <c r="F14" i="16"/>
  <c r="E15" i="16"/>
  <c r="H14" i="16"/>
  <c r="H12" i="16"/>
  <c r="F13" i="16"/>
  <c r="G15" i="16"/>
  <c r="F15" i="16"/>
  <c r="H15" i="16"/>
  <c r="G14" i="16"/>
  <c r="B23" i="31" l="1"/>
  <c r="V13" i="24"/>
  <c r="U13" i="24"/>
  <c r="T13" i="24"/>
  <c r="S14" i="24"/>
  <c r="Q29" i="20"/>
  <c r="Q28" i="20"/>
  <c r="Q23" i="20"/>
  <c r="V14" i="23"/>
  <c r="S15" i="23"/>
  <c r="U14" i="23"/>
  <c r="T14" i="23"/>
  <c r="Q30" i="20"/>
  <c r="Q24" i="20"/>
  <c r="Q26" i="20"/>
  <c r="Q25" i="20"/>
  <c r="J12" i="16" a="1"/>
  <c r="X22" i="20" l="1"/>
  <c r="X23" i="20" s="1"/>
  <c r="B24" i="31"/>
  <c r="G3" i="20" a="1"/>
  <c r="G23" i="20" s="1"/>
  <c r="S15" i="24"/>
  <c r="V14" i="24"/>
  <c r="U14" i="24"/>
  <c r="T14" i="24"/>
  <c r="V15" i="23"/>
  <c r="S16" i="23"/>
  <c r="T15" i="23"/>
  <c r="U15" i="23"/>
  <c r="J15" i="16"/>
  <c r="M10" i="16" s="1"/>
  <c r="O10" i="16" s="1"/>
  <c r="P10" i="16" s="1"/>
  <c r="Q10" i="16" s="1"/>
  <c r="R10" i="16" s="1"/>
  <c r="J14" i="16"/>
  <c r="M9" i="16" s="1"/>
  <c r="O9" i="16" s="1"/>
  <c r="P9" i="16" s="1"/>
  <c r="Q9" i="16" s="1"/>
  <c r="R9" i="16" s="1"/>
  <c r="J12" i="16"/>
  <c r="J13" i="16"/>
  <c r="M8" i="16" s="1"/>
  <c r="X24" i="20" l="1"/>
  <c r="X25" i="20"/>
  <c r="B25" i="31"/>
  <c r="G31" i="20"/>
  <c r="G38" i="20"/>
  <c r="G16" i="20"/>
  <c r="G11" i="20"/>
  <c r="G19" i="20"/>
  <c r="G28" i="20"/>
  <c r="G25" i="20"/>
  <c r="G33" i="20"/>
  <c r="G20" i="20"/>
  <c r="G5" i="20"/>
  <c r="G35" i="20"/>
  <c r="G17" i="20"/>
  <c r="G32" i="20"/>
  <c r="G21" i="20"/>
  <c r="G12" i="20"/>
  <c r="G13" i="20"/>
  <c r="G15" i="20"/>
  <c r="G24" i="20"/>
  <c r="G37" i="20"/>
  <c r="G8" i="20"/>
  <c r="G10" i="20"/>
  <c r="G29" i="20"/>
  <c r="G26" i="20"/>
  <c r="G36" i="20"/>
  <c r="G27" i="20"/>
  <c r="G4" i="20"/>
  <c r="G34" i="20"/>
  <c r="G30" i="20"/>
  <c r="G7" i="20"/>
  <c r="G6" i="20"/>
  <c r="G18" i="20"/>
  <c r="G9" i="20"/>
  <c r="G22" i="20"/>
  <c r="G3" i="20"/>
  <c r="G14" i="20"/>
  <c r="V15" i="24"/>
  <c r="T15" i="24"/>
  <c r="U15" i="24"/>
  <c r="S16" i="24"/>
  <c r="T16" i="23"/>
  <c r="U16" i="23"/>
  <c r="V16" i="23"/>
  <c r="S17" i="23"/>
  <c r="J3" i="16" a="1"/>
  <c r="J7" i="16" s="1"/>
  <c r="M11" i="16"/>
  <c r="O8" i="16"/>
  <c r="P8" i="16" s="1"/>
  <c r="Q8" i="16" s="1"/>
  <c r="R8" i="16" s="1"/>
  <c r="B26" i="31" l="1"/>
  <c r="Q34" i="20"/>
  <c r="S34" i="20" s="1"/>
  <c r="Q35" i="20"/>
  <c r="S35" i="20" s="1"/>
  <c r="U16" i="24"/>
  <c r="S17" i="24"/>
  <c r="V16" i="24"/>
  <c r="T16" i="24"/>
  <c r="S18" i="23"/>
  <c r="V17" i="23"/>
  <c r="U17" i="23"/>
  <c r="T17" i="23"/>
  <c r="J4" i="16"/>
  <c r="J10" i="16"/>
  <c r="J8" i="16"/>
  <c r="J3" i="16"/>
  <c r="J9" i="16"/>
  <c r="J6" i="16"/>
  <c r="J5" i="16"/>
  <c r="O11" i="16"/>
  <c r="P11" i="16" s="1"/>
  <c r="Q11" i="16" s="1"/>
  <c r="R11" i="16" s="1"/>
  <c r="U36" i="20" l="1"/>
  <c r="B27" i="31"/>
  <c r="Q37" i="20"/>
  <c r="S37" i="20" s="1"/>
  <c r="T37" i="20" s="1"/>
  <c r="U37" i="20" s="1"/>
  <c r="T17" i="24"/>
  <c r="S18" i="24"/>
  <c r="V17" i="24"/>
  <c r="U17" i="24"/>
  <c r="T18" i="23"/>
  <c r="U18" i="23"/>
  <c r="V18" i="23"/>
  <c r="S19" i="23"/>
  <c r="M3" i="16"/>
  <c r="O3" i="16" s="1"/>
  <c r="M12" i="16"/>
  <c r="M14" i="16" s="1"/>
  <c r="M4" i="16"/>
  <c r="O4" i="16" s="1"/>
  <c r="Q4" i="16" s="1"/>
  <c r="U35" i="20"/>
  <c r="T34" i="20"/>
  <c r="U34" i="20" s="1"/>
  <c r="R23" i="20" a="1"/>
  <c r="O12" i="16" l="1"/>
  <c r="P12" i="16" s="1"/>
  <c r="Q12" i="16" s="1"/>
  <c r="R12" i="16" s="1"/>
  <c r="B28" i="31"/>
  <c r="Q5" i="16"/>
  <c r="S19" i="24"/>
  <c r="V18" i="24"/>
  <c r="U18" i="24"/>
  <c r="T18" i="24"/>
  <c r="P3" i="16"/>
  <c r="Q3" i="16" s="1"/>
  <c r="R3" i="16" s="1"/>
  <c r="V19" i="23"/>
  <c r="U19" i="23"/>
  <c r="T19" i="23"/>
  <c r="S20" i="23"/>
  <c r="R27" i="20"/>
  <c r="S27" i="20" s="1"/>
  <c r="T27" i="20" s="1"/>
  <c r="U27" i="20" s="1"/>
  <c r="R26" i="20"/>
  <c r="S26" i="20" s="1"/>
  <c r="T26" i="20" s="1"/>
  <c r="U26" i="20" s="1"/>
  <c r="R25" i="20"/>
  <c r="S25" i="20" s="1"/>
  <c r="T25" i="20" s="1"/>
  <c r="U25" i="20" s="1"/>
  <c r="R24" i="20"/>
  <c r="S24" i="20" s="1"/>
  <c r="T24" i="20" s="1"/>
  <c r="U24" i="20" s="1"/>
  <c r="R30" i="20"/>
  <c r="S30" i="20" s="1"/>
  <c r="T30" i="20" s="1"/>
  <c r="U30" i="20" s="1"/>
  <c r="R23" i="20"/>
  <c r="S23" i="20" s="1"/>
  <c r="R29" i="20"/>
  <c r="S29" i="20" s="1"/>
  <c r="T29" i="20" s="1"/>
  <c r="U29" i="20" s="1"/>
  <c r="R28" i="20"/>
  <c r="S28" i="20" s="1"/>
  <c r="T28" i="20" s="1"/>
  <c r="U28" i="20" s="1"/>
  <c r="O14" i="16"/>
  <c r="M15" i="16"/>
  <c r="Q14" i="16" s="1"/>
  <c r="B29" i="31" l="1"/>
  <c r="V19" i="24"/>
  <c r="T19" i="24"/>
  <c r="U19" i="24"/>
  <c r="S20" i="24"/>
  <c r="V20" i="23"/>
  <c r="U20" i="23"/>
  <c r="S21" i="23"/>
  <c r="T20" i="23"/>
  <c r="F3" i="15"/>
  <c r="C12" i="15" s="1"/>
  <c r="R3" i="15"/>
  <c r="F4" i="15"/>
  <c r="R4" i="15"/>
  <c r="F5" i="15"/>
  <c r="R5" i="15"/>
  <c r="F6" i="15"/>
  <c r="R6" i="15"/>
  <c r="I12" i="15"/>
  <c r="O12" i="15"/>
  <c r="I13" i="15"/>
  <c r="O13" i="15"/>
  <c r="B14" i="15"/>
  <c r="C14" i="15"/>
  <c r="H14" i="15"/>
  <c r="I14" i="15"/>
  <c r="N14" i="15"/>
  <c r="O14" i="15"/>
  <c r="G16" i="15" a="1"/>
  <c r="H16" i="15" s="1"/>
  <c r="K16" i="15" a="1"/>
  <c r="K16" i="15" s="1"/>
  <c r="Q16" i="15" l="1" a="1"/>
  <c r="Q17" i="15" s="1"/>
  <c r="B30" i="31"/>
  <c r="S21" i="24"/>
  <c r="T20" i="24"/>
  <c r="V20" i="24"/>
  <c r="U20" i="24"/>
  <c r="S22" i="23"/>
  <c r="U21" i="23"/>
  <c r="V21" i="23"/>
  <c r="T21" i="23"/>
  <c r="C13" i="15"/>
  <c r="A16" i="15" a="1"/>
  <c r="A16" i="15" s="1"/>
  <c r="M16" i="15" a="1"/>
  <c r="M16" i="15" s="1"/>
  <c r="A17" i="15"/>
  <c r="B17" i="15"/>
  <c r="B16" i="15"/>
  <c r="G16" i="15"/>
  <c r="E16" i="15" a="1"/>
  <c r="K17" i="15"/>
  <c r="Q16" i="15"/>
  <c r="H17" i="15"/>
  <c r="G17" i="15"/>
  <c r="J3" i="14" a="1"/>
  <c r="J3" i="14" s="1"/>
  <c r="Q6" i="14"/>
  <c r="Q7" i="14"/>
  <c r="Q8" i="14"/>
  <c r="B14" i="14" a="1"/>
  <c r="B14" i="14" s="1"/>
  <c r="G14" i="14" a="1"/>
  <c r="G15" i="14" s="1"/>
  <c r="Q18" i="14"/>
  <c r="Q19" i="14"/>
  <c r="Q20" i="14"/>
  <c r="B31" i="31" l="1"/>
  <c r="T21" i="24"/>
  <c r="V21" i="24"/>
  <c r="U21" i="24"/>
  <c r="S22" i="24"/>
  <c r="S23" i="23"/>
  <c r="U22" i="23"/>
  <c r="V22" i="23"/>
  <c r="T22" i="23"/>
  <c r="I16" i="15" a="1"/>
  <c r="I16" i="15" s="1"/>
  <c r="M17" i="15"/>
  <c r="N17" i="15"/>
  <c r="N16" i="15"/>
  <c r="O16" i="15" s="1" a="1"/>
  <c r="E17" i="15"/>
  <c r="E16" i="15"/>
  <c r="C16" i="15" a="1"/>
  <c r="E15" i="14"/>
  <c r="D18" i="14"/>
  <c r="F14" i="14"/>
  <c r="C18" i="14"/>
  <c r="B18" i="14"/>
  <c r="M6" i="14"/>
  <c r="L6" i="14"/>
  <c r="F17" i="14"/>
  <c r="D17" i="14"/>
  <c r="F16" i="14"/>
  <c r="K6" i="14"/>
  <c r="E17" i="14"/>
  <c r="C17" i="14"/>
  <c r="E16" i="14"/>
  <c r="J6" i="14"/>
  <c r="F15" i="14"/>
  <c r="D15" i="14"/>
  <c r="C15" i="14"/>
  <c r="D16" i="14"/>
  <c r="K5" i="14"/>
  <c r="F18" i="14"/>
  <c r="E18" i="14"/>
  <c r="C16" i="14"/>
  <c r="J5" i="14"/>
  <c r="B17" i="14"/>
  <c r="B15" i="14"/>
  <c r="D14" i="14"/>
  <c r="B16" i="14"/>
  <c r="C14" i="14"/>
  <c r="E14" i="14"/>
  <c r="G14" i="14"/>
  <c r="N3" i="14" a="1"/>
  <c r="L4" i="14"/>
  <c r="M3" i="14"/>
  <c r="K4" i="14"/>
  <c r="L3" i="14"/>
  <c r="K3" i="14"/>
  <c r="M4" i="14"/>
  <c r="M5" i="14"/>
  <c r="J4" i="14"/>
  <c r="G18" i="14"/>
  <c r="G17" i="14"/>
  <c r="G16" i="14"/>
  <c r="L5" i="14"/>
  <c r="B3" i="13"/>
  <c r="C3" i="13"/>
  <c r="D3" i="13"/>
  <c r="E3" i="13"/>
  <c r="F3" i="13"/>
  <c r="G3" i="13"/>
  <c r="H3" i="13"/>
  <c r="I3" i="13"/>
  <c r="B4" i="13"/>
  <c r="C4" i="13"/>
  <c r="D4" i="13"/>
  <c r="E4" i="13"/>
  <c r="F4" i="13"/>
  <c r="G4" i="13"/>
  <c r="H4" i="13"/>
  <c r="I4" i="13"/>
  <c r="C5" i="13"/>
  <c r="D5" i="13"/>
  <c r="E5" i="13"/>
  <c r="F5" i="13"/>
  <c r="G5" i="13"/>
  <c r="H5" i="13"/>
  <c r="I5" i="13"/>
  <c r="L5" i="13"/>
  <c r="M6" i="13" s="1"/>
  <c r="N7" i="13" s="1"/>
  <c r="O8" i="13" s="1"/>
  <c r="P9" i="13" s="1"/>
  <c r="Q10" i="13" s="1"/>
  <c r="D6" i="13"/>
  <c r="E6" i="13"/>
  <c r="F6" i="13"/>
  <c r="G6" i="13"/>
  <c r="H6" i="13"/>
  <c r="I6" i="13"/>
  <c r="E7" i="13"/>
  <c r="F7" i="13"/>
  <c r="G7" i="13"/>
  <c r="H7" i="13"/>
  <c r="I7" i="13"/>
  <c r="F8" i="13"/>
  <c r="G8" i="13"/>
  <c r="H8" i="13"/>
  <c r="I8" i="13"/>
  <c r="G9" i="13"/>
  <c r="H9" i="13"/>
  <c r="I9" i="13"/>
  <c r="H10" i="13"/>
  <c r="I10" i="13"/>
  <c r="I11" i="13"/>
  <c r="B32" i="31" l="1"/>
  <c r="V22" i="24"/>
  <c r="S23" i="24"/>
  <c r="U22" i="24"/>
  <c r="T22" i="24"/>
  <c r="T23" i="23"/>
  <c r="U23" i="23"/>
  <c r="V23" i="23"/>
  <c r="J17" i="15"/>
  <c r="I17" i="15"/>
  <c r="J16" i="15"/>
  <c r="C17" i="15"/>
  <c r="D17" i="15"/>
  <c r="D16" i="15"/>
  <c r="C16" i="15"/>
  <c r="O17" i="15"/>
  <c r="P17" i="15"/>
  <c r="P16" i="15"/>
  <c r="O16" i="15"/>
  <c r="R16" i="15" s="1" a="1"/>
  <c r="L16" i="15" a="1"/>
  <c r="I14" i="14" a="1"/>
  <c r="I14" i="14" s="1"/>
  <c r="J8" i="14" a="1"/>
  <c r="J8" i="14" s="1"/>
  <c r="N6" i="14"/>
  <c r="N5" i="14"/>
  <c r="N3" i="14"/>
  <c r="N4" i="14"/>
  <c r="A13" i="13" a="1"/>
  <c r="A19" i="13" s="1"/>
  <c r="J13" i="13" a="1"/>
  <c r="D3" i="12"/>
  <c r="F3" i="12"/>
  <c r="G3" i="12"/>
  <c r="D4" i="12"/>
  <c r="F4" i="12"/>
  <c r="G4" i="12"/>
  <c r="D5" i="12"/>
  <c r="F5" i="12"/>
  <c r="G5" i="12"/>
  <c r="D6" i="12"/>
  <c r="F6" i="12"/>
  <c r="G6" i="12"/>
  <c r="D7" i="12"/>
  <c r="F7" i="12"/>
  <c r="G7" i="12"/>
  <c r="D8" i="12"/>
  <c r="F8" i="12"/>
  <c r="G8" i="12"/>
  <c r="B9" i="12"/>
  <c r="F9" i="12" s="1"/>
  <c r="G9" i="12"/>
  <c r="C10" i="12"/>
  <c r="G10" i="12" s="1"/>
  <c r="F10" i="12"/>
  <c r="C11" i="12"/>
  <c r="G11" i="12" s="1"/>
  <c r="F11" i="12"/>
  <c r="B12" i="12"/>
  <c r="F12" i="12" s="1"/>
  <c r="G12" i="12"/>
  <c r="D13" i="12"/>
  <c r="F13" i="12"/>
  <c r="G13" i="12"/>
  <c r="D14" i="12"/>
  <c r="F14" i="12"/>
  <c r="G14" i="12"/>
  <c r="F16" i="15" l="1" a="1"/>
  <c r="F17" i="15" s="1"/>
  <c r="B33" i="31"/>
  <c r="V23" i="24"/>
  <c r="U23" i="24"/>
  <c r="T23" i="24"/>
  <c r="AB3" i="23" a="1"/>
  <c r="W3" i="23" a="1"/>
  <c r="L16" i="15"/>
  <c r="L17" i="15"/>
  <c r="F16" i="15"/>
  <c r="R16" i="15"/>
  <c r="R17" i="15"/>
  <c r="M8" i="14"/>
  <c r="K14" i="14"/>
  <c r="M18" i="14"/>
  <c r="M16" i="14"/>
  <c r="I15" i="14"/>
  <c r="J11" i="14"/>
  <c r="J18" i="14"/>
  <c r="L8" i="14"/>
  <c r="I18" i="14"/>
  <c r="M10" i="14"/>
  <c r="J10" i="14"/>
  <c r="I16" i="14"/>
  <c r="K10" i="14"/>
  <c r="M15" i="14"/>
  <c r="J14" i="14"/>
  <c r="J17" i="14"/>
  <c r="K9" i="14"/>
  <c r="J9" i="14"/>
  <c r="I17" i="14"/>
  <c r="M17" i="14"/>
  <c r="L11" i="14"/>
  <c r="L17" i="14"/>
  <c r="L18" i="14"/>
  <c r="L9" i="14"/>
  <c r="J15" i="14"/>
  <c r="L10" i="14"/>
  <c r="K8" i="14"/>
  <c r="K18" i="14"/>
  <c r="L16" i="14"/>
  <c r="L14" i="14"/>
  <c r="J16" i="14"/>
  <c r="K17" i="14"/>
  <c r="M9" i="14"/>
  <c r="K16" i="14"/>
  <c r="M14" i="14"/>
  <c r="M11" i="14"/>
  <c r="K11" i="14"/>
  <c r="L15" i="14"/>
  <c r="K15" i="14"/>
  <c r="D20" i="13"/>
  <c r="G13" i="13"/>
  <c r="E19" i="13"/>
  <c r="I20" i="13"/>
  <c r="B16" i="13"/>
  <c r="H18" i="13"/>
  <c r="H14" i="13"/>
  <c r="E16" i="13"/>
  <c r="F20" i="13"/>
  <c r="B15" i="13"/>
  <c r="A21" i="13"/>
  <c r="F17" i="13"/>
  <c r="H21" i="13"/>
  <c r="H15" i="13"/>
  <c r="F21" i="13"/>
  <c r="I21" i="13"/>
  <c r="C16" i="13"/>
  <c r="H19" i="13"/>
  <c r="D21" i="13"/>
  <c r="C20" i="13"/>
  <c r="A20" i="13"/>
  <c r="A18" i="13"/>
  <c r="E18" i="13"/>
  <c r="G18" i="13"/>
  <c r="A17" i="13"/>
  <c r="C15" i="13"/>
  <c r="E13" i="13"/>
  <c r="E20" i="13"/>
  <c r="I17" i="13"/>
  <c r="D17" i="13"/>
  <c r="F14" i="13"/>
  <c r="B17" i="13"/>
  <c r="A16" i="13"/>
  <c r="C18" i="13"/>
  <c r="C21" i="13"/>
  <c r="G14" i="13"/>
  <c r="H20" i="13"/>
  <c r="C19" i="13"/>
  <c r="G19" i="13"/>
  <c r="B20" i="13"/>
  <c r="B21" i="13"/>
  <c r="B19" i="13"/>
  <c r="G16" i="13"/>
  <c r="B18" i="13"/>
  <c r="D15" i="13"/>
  <c r="I13" i="13"/>
  <c r="D14" i="13"/>
  <c r="I16" i="13"/>
  <c r="I18" i="13"/>
  <c r="D19" i="13"/>
  <c r="E15" i="13"/>
  <c r="H16" i="13"/>
  <c r="F16" i="13"/>
  <c r="F15" i="13"/>
  <c r="G21" i="13"/>
  <c r="E21" i="13"/>
  <c r="D18" i="13"/>
  <c r="A14" i="13"/>
  <c r="F18" i="13"/>
  <c r="C14" i="13"/>
  <c r="F13" i="13"/>
  <c r="D16" i="13"/>
  <c r="B14" i="13"/>
  <c r="E14" i="13"/>
  <c r="G20" i="13"/>
  <c r="I15" i="13"/>
  <c r="D13" i="13"/>
  <c r="H17" i="13"/>
  <c r="H13" i="13"/>
  <c r="I19" i="13"/>
  <c r="C17" i="13"/>
  <c r="F19" i="13"/>
  <c r="A13" i="13"/>
  <c r="B13" i="13"/>
  <c r="I14" i="13"/>
  <c r="G17" i="13"/>
  <c r="E17" i="13"/>
  <c r="A15" i="13"/>
  <c r="G15" i="13"/>
  <c r="C13" i="13"/>
  <c r="M13" i="13"/>
  <c r="N13" i="13"/>
  <c r="J15" i="13"/>
  <c r="P13" i="13"/>
  <c r="N14" i="13"/>
  <c r="L15" i="13"/>
  <c r="J16" i="13"/>
  <c r="R20" i="13"/>
  <c r="P21" i="13"/>
  <c r="Q13" i="13"/>
  <c r="M15" i="13"/>
  <c r="Q21" i="13"/>
  <c r="N15" i="13"/>
  <c r="R21" i="13"/>
  <c r="O14" i="13"/>
  <c r="K16" i="13"/>
  <c r="J17" i="13"/>
  <c r="R13" i="13"/>
  <c r="P14" i="13"/>
  <c r="L16" i="13"/>
  <c r="Q14" i="13"/>
  <c r="O15" i="13"/>
  <c r="M16" i="13"/>
  <c r="K17" i="13"/>
  <c r="P16" i="13"/>
  <c r="N17" i="13"/>
  <c r="J19" i="13"/>
  <c r="M18" i="13"/>
  <c r="R16" i="13"/>
  <c r="L19" i="13"/>
  <c r="O18" i="13"/>
  <c r="J21" i="13"/>
  <c r="K21" i="13"/>
  <c r="J14" i="13"/>
  <c r="R18" i="13"/>
  <c r="Q19" i="13"/>
  <c r="P20" i="13"/>
  <c r="R14" i="13"/>
  <c r="P15" i="13"/>
  <c r="N16" i="13"/>
  <c r="L17" i="13"/>
  <c r="J18" i="13"/>
  <c r="K19" i="13"/>
  <c r="N18" i="13"/>
  <c r="M19" i="13"/>
  <c r="M20" i="13"/>
  <c r="L14" i="13"/>
  <c r="Q15" i="13"/>
  <c r="O16" i="13"/>
  <c r="M17" i="13"/>
  <c r="K18" i="13"/>
  <c r="R15" i="13"/>
  <c r="L18" i="13"/>
  <c r="O17" i="13"/>
  <c r="P17" i="13"/>
  <c r="K20" i="13"/>
  <c r="L13" i="13"/>
  <c r="M21" i="13"/>
  <c r="O13" i="13"/>
  <c r="Q17" i="13"/>
  <c r="O19" i="13"/>
  <c r="Q16" i="13"/>
  <c r="J20" i="13"/>
  <c r="K13" i="13"/>
  <c r="Q18" i="13"/>
  <c r="L21" i="13"/>
  <c r="M14" i="13"/>
  <c r="J13" i="13"/>
  <c r="R17" i="13"/>
  <c r="P18" i="13"/>
  <c r="N19" i="13"/>
  <c r="L20" i="13"/>
  <c r="P19" i="13"/>
  <c r="K14" i="13"/>
  <c r="O20" i="13"/>
  <c r="R19" i="13"/>
  <c r="K15" i="13"/>
  <c r="Q20" i="13"/>
  <c r="N20" i="13"/>
  <c r="N21" i="13"/>
  <c r="O21" i="13"/>
  <c r="A17" i="12" a="1"/>
  <c r="D3" i="11"/>
  <c r="E3" i="11"/>
  <c r="S3" i="11" s="1"/>
  <c r="F3" i="11"/>
  <c r="Q3" i="11"/>
  <c r="R3" i="11"/>
  <c r="D4" i="11"/>
  <c r="E4" i="11"/>
  <c r="S4" i="11" s="1"/>
  <c r="F4" i="11"/>
  <c r="Q4" i="11"/>
  <c r="R4" i="11"/>
  <c r="D5" i="11"/>
  <c r="E5" i="11"/>
  <c r="F5" i="11"/>
  <c r="Q5" i="11"/>
  <c r="R5" i="11"/>
  <c r="D6" i="11"/>
  <c r="E6" i="11"/>
  <c r="S6" i="11" s="1"/>
  <c r="F6" i="11"/>
  <c r="Q6" i="11"/>
  <c r="R6" i="11"/>
  <c r="D7" i="11"/>
  <c r="E7" i="11"/>
  <c r="S7" i="11" s="1"/>
  <c r="F7" i="11"/>
  <c r="K7" i="11"/>
  <c r="Q7" i="11"/>
  <c r="R7" i="11"/>
  <c r="D8" i="11"/>
  <c r="E8" i="11"/>
  <c r="S8" i="11" s="1"/>
  <c r="F8" i="11"/>
  <c r="Q8" i="11"/>
  <c r="R8" i="11"/>
  <c r="B9" i="11"/>
  <c r="E9" i="11" s="1"/>
  <c r="S9" i="11" s="1"/>
  <c r="F9" i="11"/>
  <c r="R9" i="11"/>
  <c r="C10" i="11"/>
  <c r="F10" i="11" s="1"/>
  <c r="E10" i="11"/>
  <c r="S10" i="11" s="1"/>
  <c r="Q10" i="11"/>
  <c r="C11" i="11"/>
  <c r="R11" i="11" s="1"/>
  <c r="E11" i="11"/>
  <c r="S11" i="11" s="1"/>
  <c r="Q11" i="11"/>
  <c r="B12" i="11"/>
  <c r="E12" i="11" s="1"/>
  <c r="S12" i="11" s="1"/>
  <c r="F12" i="11"/>
  <c r="R12" i="11"/>
  <c r="D13" i="11"/>
  <c r="E13" i="11"/>
  <c r="S13" i="11" s="1"/>
  <c r="F13" i="11"/>
  <c r="Q13" i="11"/>
  <c r="R13" i="11"/>
  <c r="D14" i="11"/>
  <c r="E14" i="11"/>
  <c r="S14" i="11" s="1"/>
  <c r="F14" i="11"/>
  <c r="Q14" i="11"/>
  <c r="R14" i="11"/>
  <c r="N8" i="14" l="1" a="1"/>
  <c r="N14" i="14" a="1"/>
  <c r="P3" i="15" a="1"/>
  <c r="D3" i="15" a="1"/>
  <c r="Q9" i="11"/>
  <c r="B34" i="31"/>
  <c r="AB3" i="24" a="1"/>
  <c r="W3" i="24" a="1"/>
  <c r="W5" i="23"/>
  <c r="AA7" i="23"/>
  <c r="Y10" i="23"/>
  <c r="Y12" i="23"/>
  <c r="Y5" i="23"/>
  <c r="W8" i="23"/>
  <c r="AA10" i="23"/>
  <c r="AA12" i="23"/>
  <c r="W3" i="23"/>
  <c r="Z5" i="23"/>
  <c r="X8" i="23"/>
  <c r="W11" i="23"/>
  <c r="X5" i="23"/>
  <c r="Z10" i="23"/>
  <c r="Z12" i="23"/>
  <c r="W12" i="23"/>
  <c r="X3" i="23"/>
  <c r="AA5" i="23"/>
  <c r="Y8" i="23"/>
  <c r="X11" i="23"/>
  <c r="W10" i="23"/>
  <c r="Y3" i="23"/>
  <c r="Z3" i="23"/>
  <c r="W6" i="23"/>
  <c r="AA8" i="23"/>
  <c r="Y11" i="23"/>
  <c r="Y6" i="23"/>
  <c r="W9" i="23"/>
  <c r="X9" i="23"/>
  <c r="AA9" i="23"/>
  <c r="AA3" i="23"/>
  <c r="X6" i="23"/>
  <c r="Z11" i="23"/>
  <c r="AA11" i="23"/>
  <c r="Z6" i="23"/>
  <c r="W4" i="23"/>
  <c r="AA6" i="23"/>
  <c r="Y9" i="23"/>
  <c r="Z9" i="23"/>
  <c r="Y4" i="23"/>
  <c r="W7" i="23"/>
  <c r="AA4" i="23"/>
  <c r="X4" i="23"/>
  <c r="Z4" i="23"/>
  <c r="X7" i="23"/>
  <c r="Z7" i="23"/>
  <c r="X10" i="23"/>
  <c r="X12" i="23"/>
  <c r="Z8" i="23"/>
  <c r="Y7" i="23"/>
  <c r="Z17" i="23"/>
  <c r="W15" i="23"/>
  <c r="AA17" i="23"/>
  <c r="X15" i="23"/>
  <c r="Y15" i="23"/>
  <c r="Z15" i="23"/>
  <c r="Y17" i="23"/>
  <c r="W13" i="23"/>
  <c r="AA15" i="23"/>
  <c r="X18" i="23"/>
  <c r="AA13" i="23"/>
  <c r="Y16" i="23"/>
  <c r="Y18" i="23"/>
  <c r="Z16" i="23"/>
  <c r="Z18" i="23"/>
  <c r="AA14" i="23"/>
  <c r="X13" i="23"/>
  <c r="AA16" i="23"/>
  <c r="AA18" i="23"/>
  <c r="Z14" i="23"/>
  <c r="Y13" i="23"/>
  <c r="W16" i="23"/>
  <c r="W18" i="23"/>
  <c r="Z13" i="23"/>
  <c r="X16" i="23"/>
  <c r="X14" i="23"/>
  <c r="Y14" i="23"/>
  <c r="W17" i="23"/>
  <c r="X17" i="23"/>
  <c r="W14" i="23"/>
  <c r="AA21" i="23"/>
  <c r="Z23" i="23"/>
  <c r="AA23" i="23"/>
  <c r="Z19" i="23"/>
  <c r="W20" i="23"/>
  <c r="X20" i="23"/>
  <c r="Y20" i="23"/>
  <c r="W22" i="23"/>
  <c r="Z20" i="23"/>
  <c r="X22" i="23"/>
  <c r="AA20" i="23"/>
  <c r="Y22" i="23"/>
  <c r="Z22" i="23"/>
  <c r="AA22" i="23"/>
  <c r="W19" i="23"/>
  <c r="AA19" i="23"/>
  <c r="Y21" i="23"/>
  <c r="W23" i="23"/>
  <c r="Z21" i="23"/>
  <c r="X23" i="23"/>
  <c r="Y23" i="23"/>
  <c r="X19" i="23"/>
  <c r="Y19" i="23"/>
  <c r="W21" i="23"/>
  <c r="X21" i="23"/>
  <c r="AB10" i="23"/>
  <c r="AB12" i="23"/>
  <c r="AB7" i="23"/>
  <c r="AB11" i="23"/>
  <c r="AB8" i="23"/>
  <c r="AB3" i="23"/>
  <c r="AB6" i="23"/>
  <c r="AB9" i="23"/>
  <c r="AB4" i="23"/>
  <c r="AB5" i="23"/>
  <c r="AB14" i="23"/>
  <c r="AB17" i="23"/>
  <c r="AB13" i="23"/>
  <c r="AB18" i="23"/>
  <c r="AB15" i="23"/>
  <c r="AB16" i="23"/>
  <c r="AB21" i="23"/>
  <c r="AB23" i="23"/>
  <c r="AB20" i="23"/>
  <c r="AB19" i="23"/>
  <c r="AB22" i="23"/>
  <c r="D3" i="15"/>
  <c r="D6" i="15"/>
  <c r="D7" i="15"/>
  <c r="D4" i="15"/>
  <c r="D9" i="15"/>
  <c r="D8" i="15"/>
  <c r="D5" i="15"/>
  <c r="P5" i="15"/>
  <c r="P6" i="15"/>
  <c r="P3" i="15"/>
  <c r="P8" i="15"/>
  <c r="P9" i="15"/>
  <c r="P7" i="15"/>
  <c r="P4" i="15"/>
  <c r="J3" i="15" a="1"/>
  <c r="N14" i="14"/>
  <c r="N17" i="14"/>
  <c r="P16" i="14" s="1"/>
  <c r="R16" i="14" s="1"/>
  <c r="N18" i="14"/>
  <c r="P17" i="14" s="1"/>
  <c r="R17" i="14" s="1"/>
  <c r="N16" i="14"/>
  <c r="P15" i="14" s="1"/>
  <c r="R15" i="14" s="1"/>
  <c r="N15" i="14"/>
  <c r="P14" i="14" s="1"/>
  <c r="R14" i="14" s="1"/>
  <c r="N10" i="14"/>
  <c r="P4" i="14" s="1"/>
  <c r="R4" i="14" s="1"/>
  <c r="N9" i="14"/>
  <c r="P3" i="14" s="1"/>
  <c r="R3" i="14" s="1"/>
  <c r="N11" i="14"/>
  <c r="P5" i="14" s="1"/>
  <c r="R5" i="14" s="1"/>
  <c r="N8" i="14"/>
  <c r="A18" i="12"/>
  <c r="E22" i="12"/>
  <c r="B23" i="12"/>
  <c r="B18" i="12"/>
  <c r="F22" i="12"/>
  <c r="C23" i="12"/>
  <c r="C18" i="12"/>
  <c r="G22" i="12"/>
  <c r="D23" i="12"/>
  <c r="D18" i="12"/>
  <c r="A19" i="12"/>
  <c r="E23" i="12"/>
  <c r="E18" i="12"/>
  <c r="B19" i="12"/>
  <c r="F23" i="12"/>
  <c r="G23" i="12"/>
  <c r="F19" i="12"/>
  <c r="D17" i="12"/>
  <c r="A22" i="12"/>
  <c r="F18" i="12"/>
  <c r="C19" i="12"/>
  <c r="B22" i="12"/>
  <c r="G18" i="12"/>
  <c r="D19" i="12"/>
  <c r="A20" i="12"/>
  <c r="E19" i="12"/>
  <c r="B20" i="12"/>
  <c r="C20" i="12"/>
  <c r="F20" i="12"/>
  <c r="G20" i="12"/>
  <c r="E21" i="12"/>
  <c r="A17" i="12"/>
  <c r="G19" i="12"/>
  <c r="D20" i="12"/>
  <c r="A21" i="12"/>
  <c r="E20" i="12"/>
  <c r="C21" i="12"/>
  <c r="B17" i="12"/>
  <c r="B21" i="12"/>
  <c r="C17" i="12"/>
  <c r="D21" i="12"/>
  <c r="E17" i="12"/>
  <c r="F17" i="12"/>
  <c r="F21" i="12"/>
  <c r="D22" i="12"/>
  <c r="A23" i="12"/>
  <c r="G21" i="12"/>
  <c r="G17" i="12"/>
  <c r="C22" i="12"/>
  <c r="Q12" i="11"/>
  <c r="F11" i="11"/>
  <c r="A23" i="11" a="1"/>
  <c r="B24" i="11" s="1"/>
  <c r="G16" i="11" a="1"/>
  <c r="K9" i="11"/>
  <c r="J9" i="11"/>
  <c r="R10" i="11"/>
  <c r="S5" i="11"/>
  <c r="J25" i="11"/>
  <c r="K25" i="11"/>
  <c r="A16" i="11" a="1"/>
  <c r="K8" i="11"/>
  <c r="K24" i="11"/>
  <c r="E3" i="10"/>
  <c r="F3" i="10"/>
  <c r="G3" i="10"/>
  <c r="H3" i="10"/>
  <c r="I3" i="10"/>
  <c r="J3" i="10"/>
  <c r="O3" i="10"/>
  <c r="E4" i="10"/>
  <c r="F4" i="10"/>
  <c r="G4" i="10"/>
  <c r="H4" i="10"/>
  <c r="I4" i="10"/>
  <c r="J4" i="10"/>
  <c r="O4" i="10"/>
  <c r="E5" i="10"/>
  <c r="F5" i="10"/>
  <c r="G5" i="10"/>
  <c r="H5" i="10"/>
  <c r="I5" i="10"/>
  <c r="J5" i="10"/>
  <c r="N5" i="10"/>
  <c r="O5" i="10"/>
  <c r="E6" i="10"/>
  <c r="F6" i="10"/>
  <c r="G6" i="10"/>
  <c r="H6" i="10"/>
  <c r="I6" i="10"/>
  <c r="J6" i="10"/>
  <c r="E7" i="10"/>
  <c r="F7" i="10"/>
  <c r="G7" i="10"/>
  <c r="H7" i="10"/>
  <c r="I7" i="10"/>
  <c r="J7" i="10"/>
  <c r="E8" i="10"/>
  <c r="F8" i="10"/>
  <c r="G8" i="10"/>
  <c r="H8" i="10"/>
  <c r="I8" i="10"/>
  <c r="J8" i="10"/>
  <c r="E9" i="10"/>
  <c r="F9" i="10"/>
  <c r="G9" i="10"/>
  <c r="H9" i="10"/>
  <c r="I9" i="10"/>
  <c r="J9" i="10"/>
  <c r="E10" i="10"/>
  <c r="F10" i="10"/>
  <c r="G10" i="10"/>
  <c r="H10" i="10"/>
  <c r="I10" i="10"/>
  <c r="J10" i="10"/>
  <c r="E11" i="10"/>
  <c r="F11" i="10"/>
  <c r="G11" i="10"/>
  <c r="H11" i="10"/>
  <c r="I11" i="10"/>
  <c r="J11" i="10"/>
  <c r="B12" i="10"/>
  <c r="B13" i="10" s="1"/>
  <c r="H13" i="10" s="1"/>
  <c r="G12" i="10"/>
  <c r="I12" i="10"/>
  <c r="J12" i="10"/>
  <c r="G13" i="10"/>
  <c r="I13" i="10"/>
  <c r="J13" i="10"/>
  <c r="C14" i="10"/>
  <c r="E14" i="10" s="1"/>
  <c r="F14" i="10"/>
  <c r="H14" i="10"/>
  <c r="I14" i="10"/>
  <c r="J14" i="10"/>
  <c r="C15" i="10"/>
  <c r="G15" i="10" s="1"/>
  <c r="E15" i="10"/>
  <c r="F15" i="10"/>
  <c r="H15" i="10"/>
  <c r="J15" i="10"/>
  <c r="D16" i="10"/>
  <c r="F16" i="10" s="1"/>
  <c r="E16" i="10"/>
  <c r="H16" i="10"/>
  <c r="I16" i="10"/>
  <c r="E17" i="10"/>
  <c r="H17" i="10"/>
  <c r="I17" i="10"/>
  <c r="G14" i="10" l="1"/>
  <c r="H12" i="10"/>
  <c r="P21" i="11" a="1"/>
  <c r="Q22" i="11" s="1"/>
  <c r="B35" i="31"/>
  <c r="AA21" i="24"/>
  <c r="Z18" i="24"/>
  <c r="Y15" i="24"/>
  <c r="X12" i="24"/>
  <c r="W9" i="24"/>
  <c r="AA5" i="24"/>
  <c r="Y21" i="24"/>
  <c r="W15" i="24"/>
  <c r="Z8" i="24"/>
  <c r="X21" i="24"/>
  <c r="W18" i="24"/>
  <c r="Y8" i="24"/>
  <c r="AA17" i="24"/>
  <c r="W5" i="24"/>
  <c r="Z17" i="24"/>
  <c r="Y14" i="24"/>
  <c r="W8" i="24"/>
  <c r="AA19" i="24"/>
  <c r="W7" i="24"/>
  <c r="AA22" i="24"/>
  <c r="Y16" i="24"/>
  <c r="W10" i="24"/>
  <c r="Z3" i="24"/>
  <c r="Y6" i="24"/>
  <c r="AA15" i="24"/>
  <c r="Z21" i="24"/>
  <c r="Y18" i="24"/>
  <c r="X15" i="24"/>
  <c r="W12" i="24"/>
  <c r="AA8" i="24"/>
  <c r="Z5" i="24"/>
  <c r="X18" i="24"/>
  <c r="AA11" i="24"/>
  <c r="Y5" i="24"/>
  <c r="AA14" i="24"/>
  <c r="X5" i="24"/>
  <c r="W21" i="24"/>
  <c r="Z14" i="24"/>
  <c r="Y11" i="24"/>
  <c r="X8" i="24"/>
  <c r="AA20" i="24"/>
  <c r="X11" i="24"/>
  <c r="AA4" i="24"/>
  <c r="Y13" i="24"/>
  <c r="W13" i="24"/>
  <c r="Z9" i="24"/>
  <c r="X22" i="24"/>
  <c r="X6" i="24"/>
  <c r="W22" i="24"/>
  <c r="Z15" i="24"/>
  <c r="Z11" i="24"/>
  <c r="Z22" i="24"/>
  <c r="Z6" i="24"/>
  <c r="X19" i="24"/>
  <c r="Z12" i="24"/>
  <c r="AA18" i="24"/>
  <c r="W6" i="24"/>
  <c r="AA23" i="24"/>
  <c r="Z20" i="24"/>
  <c r="Y17" i="24"/>
  <c r="X14" i="24"/>
  <c r="W11" i="24"/>
  <c r="AA7" i="24"/>
  <c r="Z4" i="24"/>
  <c r="Z23" i="24"/>
  <c r="X17" i="24"/>
  <c r="W14" i="24"/>
  <c r="AA10" i="24"/>
  <c r="Y4" i="24"/>
  <c r="X20" i="24"/>
  <c r="AA13" i="24"/>
  <c r="Z10" i="24"/>
  <c r="X23" i="24"/>
  <c r="W20" i="24"/>
  <c r="Z13" i="24"/>
  <c r="W4" i="24"/>
  <c r="W23" i="24"/>
  <c r="Z16" i="24"/>
  <c r="AA3" i="24"/>
  <c r="Z19" i="24"/>
  <c r="AA6" i="24"/>
  <c r="Y19" i="24"/>
  <c r="Y3" i="24"/>
  <c r="Y22" i="24"/>
  <c r="X3" i="24"/>
  <c r="W19" i="24"/>
  <c r="W3" i="24"/>
  <c r="Y20" i="24"/>
  <c r="Z7" i="24"/>
  <c r="Y23" i="24"/>
  <c r="W17" i="24"/>
  <c r="Y7" i="24"/>
  <c r="AA16" i="24"/>
  <c r="Y10" i="24"/>
  <c r="X10" i="24"/>
  <c r="X13" i="24"/>
  <c r="X16" i="24"/>
  <c r="AA12" i="24"/>
  <c r="Y9" i="24"/>
  <c r="Y12" i="24"/>
  <c r="X4" i="24"/>
  <c r="X7" i="24"/>
  <c r="AA9" i="24"/>
  <c r="W16" i="24"/>
  <c r="X9" i="24"/>
  <c r="AB23" i="24"/>
  <c r="AB7" i="24"/>
  <c r="AB20" i="24"/>
  <c r="AB3" i="24"/>
  <c r="AB22" i="24"/>
  <c r="AB6" i="24"/>
  <c r="AB5" i="24"/>
  <c r="AB4" i="24"/>
  <c r="AB19" i="24"/>
  <c r="AB13" i="24"/>
  <c r="AB21" i="24"/>
  <c r="AB11" i="24"/>
  <c r="AB18" i="24"/>
  <c r="AB17" i="24"/>
  <c r="AB16" i="24"/>
  <c r="AB15" i="24"/>
  <c r="AB14" i="24"/>
  <c r="AB12" i="24"/>
  <c r="AB9" i="24"/>
  <c r="AB8" i="24"/>
  <c r="AB10" i="24"/>
  <c r="N13" i="15"/>
  <c r="P13" i="15" s="1"/>
  <c r="R13" i="15" s="1"/>
  <c r="N12" i="15"/>
  <c r="J3" i="15"/>
  <c r="J6" i="15"/>
  <c r="J7" i="15"/>
  <c r="J4" i="15"/>
  <c r="J9" i="15"/>
  <c r="J8" i="15"/>
  <c r="J5" i="15"/>
  <c r="B12" i="15"/>
  <c r="B13" i="15"/>
  <c r="D13" i="15" s="1"/>
  <c r="F13" i="15" s="1"/>
  <c r="I4" i="14" a="1"/>
  <c r="I8" i="14" s="1"/>
  <c r="H4" i="14" a="1"/>
  <c r="P8" i="14"/>
  <c r="C23" i="11"/>
  <c r="F24" i="11"/>
  <c r="B26" i="11"/>
  <c r="E27" i="11"/>
  <c r="D28" i="11"/>
  <c r="D25" i="11"/>
  <c r="D24" i="11"/>
  <c r="D23" i="11"/>
  <c r="C25" i="11"/>
  <c r="F28" i="11"/>
  <c r="B28" i="11"/>
  <c r="E23" i="11"/>
  <c r="E26" i="11"/>
  <c r="D27" i="11"/>
  <c r="B25" i="11"/>
  <c r="C28" i="11"/>
  <c r="C24" i="11"/>
  <c r="A25" i="11"/>
  <c r="A27" i="11"/>
  <c r="E25" i="11"/>
  <c r="D26" i="11"/>
  <c r="A24" i="11"/>
  <c r="E24" i="11"/>
  <c r="F23" i="11"/>
  <c r="C27" i="11"/>
  <c r="A28" i="11"/>
  <c r="C26" i="11"/>
  <c r="B23" i="11"/>
  <c r="A26" i="11"/>
  <c r="B27" i="11"/>
  <c r="F26" i="11"/>
  <c r="A23" i="11"/>
  <c r="F25" i="11"/>
  <c r="E28" i="11"/>
  <c r="F27" i="11"/>
  <c r="T16" i="11" a="1"/>
  <c r="E17" i="11"/>
  <c r="D18" i="11"/>
  <c r="F17" i="11"/>
  <c r="E18" i="11"/>
  <c r="A21" i="11"/>
  <c r="F19" i="11"/>
  <c r="F18" i="11"/>
  <c r="B21" i="11"/>
  <c r="C21" i="11"/>
  <c r="A20" i="11"/>
  <c r="D21" i="11"/>
  <c r="D20" i="11"/>
  <c r="E16" i="11"/>
  <c r="C18" i="11"/>
  <c r="A19" i="11"/>
  <c r="D16" i="11"/>
  <c r="E20" i="11"/>
  <c r="C19" i="11"/>
  <c r="A16" i="11"/>
  <c r="B20" i="11"/>
  <c r="E21" i="11"/>
  <c r="C20" i="11"/>
  <c r="A17" i="11"/>
  <c r="B16" i="11"/>
  <c r="F21" i="11"/>
  <c r="C16" i="11"/>
  <c r="B19" i="11"/>
  <c r="F20" i="11"/>
  <c r="F16" i="11"/>
  <c r="B17" i="11"/>
  <c r="A18" i="11"/>
  <c r="D19" i="11"/>
  <c r="C17" i="11"/>
  <c r="B18" i="11"/>
  <c r="E19" i="11"/>
  <c r="D17" i="11"/>
  <c r="G19" i="11"/>
  <c r="G17" i="11"/>
  <c r="G18" i="11"/>
  <c r="G16" i="11"/>
  <c r="G21" i="11"/>
  <c r="G20" i="11"/>
  <c r="P16" i="11" a="1"/>
  <c r="F12" i="10"/>
  <c r="D17" i="10"/>
  <c r="F17" i="10" s="1"/>
  <c r="J16" i="10"/>
  <c r="E12" i="10"/>
  <c r="G16" i="10"/>
  <c r="I15" i="10"/>
  <c r="F13" i="10"/>
  <c r="E13" i="10"/>
  <c r="L3" i="9"/>
  <c r="M3" i="9"/>
  <c r="N3" i="9"/>
  <c r="O3" i="9"/>
  <c r="K4" i="9"/>
  <c r="M4" i="9" s="1"/>
  <c r="L4" i="9"/>
  <c r="K5" i="9"/>
  <c r="M5" i="9" s="1"/>
  <c r="L5" i="9"/>
  <c r="K6" i="9"/>
  <c r="M6" i="9" s="1"/>
  <c r="L6" i="9"/>
  <c r="K7" i="9"/>
  <c r="M7" i="9" s="1"/>
  <c r="L7" i="9"/>
  <c r="K8" i="9"/>
  <c r="M8" i="9" s="1"/>
  <c r="L8" i="9"/>
  <c r="I9" i="9"/>
  <c r="J9" i="9"/>
  <c r="D20" i="9"/>
  <c r="I20" i="9" s="1"/>
  <c r="E20" i="9"/>
  <c r="G20" i="9"/>
  <c r="P20" i="9"/>
  <c r="Q20" i="9"/>
  <c r="R20" i="9"/>
  <c r="S20" i="9"/>
  <c r="T20" i="9"/>
  <c r="U20" i="9"/>
  <c r="V20" i="9"/>
  <c r="C21" i="9"/>
  <c r="D21" i="9" s="1"/>
  <c r="P21" i="9"/>
  <c r="Q21" i="9"/>
  <c r="R21" i="9"/>
  <c r="S21" i="9"/>
  <c r="T21" i="9"/>
  <c r="U21" i="9"/>
  <c r="V21" i="9"/>
  <c r="D22" i="9"/>
  <c r="J22" i="9" s="1"/>
  <c r="E22" i="9"/>
  <c r="F22" i="9"/>
  <c r="G22" i="9"/>
  <c r="H22" i="9"/>
  <c r="K22" i="9"/>
  <c r="P22" i="9"/>
  <c r="Q22" i="9"/>
  <c r="R22" i="9"/>
  <c r="S22" i="9"/>
  <c r="T22" i="9"/>
  <c r="U22" i="9"/>
  <c r="V22" i="9"/>
  <c r="B23" i="9"/>
  <c r="C23" i="9"/>
  <c r="P23" i="9"/>
  <c r="Q23" i="9"/>
  <c r="R23" i="9"/>
  <c r="S23" i="9"/>
  <c r="T23" i="9"/>
  <c r="U23" i="9"/>
  <c r="V23" i="9"/>
  <c r="B24" i="9"/>
  <c r="D24" i="9"/>
  <c r="J24" i="9" s="1"/>
  <c r="E24" i="9"/>
  <c r="F24" i="9"/>
  <c r="G24" i="9"/>
  <c r="H24" i="9"/>
  <c r="P24" i="9"/>
  <c r="Q24" i="9"/>
  <c r="R24" i="9"/>
  <c r="S24" i="9"/>
  <c r="T24" i="9"/>
  <c r="U24" i="9"/>
  <c r="V24" i="9"/>
  <c r="B25" i="9"/>
  <c r="D25" i="9" s="1"/>
  <c r="P25" i="9"/>
  <c r="Q25" i="9"/>
  <c r="R25" i="9"/>
  <c r="S25" i="9"/>
  <c r="T25" i="9"/>
  <c r="U25" i="9"/>
  <c r="V25" i="9"/>
  <c r="B26" i="9"/>
  <c r="C26" i="9"/>
  <c r="E26" i="9" s="1"/>
  <c r="M26" i="9"/>
  <c r="N26" i="9"/>
  <c r="O26" i="9"/>
  <c r="B27" i="9"/>
  <c r="D27" i="9" s="1"/>
  <c r="M27" i="9"/>
  <c r="N27" i="9"/>
  <c r="O27" i="9"/>
  <c r="C28" i="9"/>
  <c r="G28" i="9" s="1"/>
  <c r="M28" i="9"/>
  <c r="N28" i="9"/>
  <c r="O28" i="9"/>
  <c r="R28" i="9"/>
  <c r="C29" i="9"/>
  <c r="D29" i="9" s="1"/>
  <c r="M29" i="9"/>
  <c r="Q29" i="9" s="1"/>
  <c r="N29" i="9"/>
  <c r="O29" i="9"/>
  <c r="R29" i="9"/>
  <c r="S29" i="9"/>
  <c r="S24" i="11" l="1"/>
  <c r="R23" i="11"/>
  <c r="R22" i="11"/>
  <c r="Q21" i="11"/>
  <c r="R21" i="11"/>
  <c r="Q24" i="11"/>
  <c r="P21" i="11"/>
  <c r="P23" i="11"/>
  <c r="S22" i="11"/>
  <c r="P24" i="11"/>
  <c r="O5" i="9"/>
  <c r="G26" i="9"/>
  <c r="G25" i="9"/>
  <c r="L9" i="9"/>
  <c r="Q23" i="11"/>
  <c r="S21" i="11"/>
  <c r="S28" i="9"/>
  <c r="S23" i="11"/>
  <c r="P22" i="11"/>
  <c r="E28" i="9"/>
  <c r="D28" i="9"/>
  <c r="I28" i="9" s="1"/>
  <c r="R24" i="11"/>
  <c r="B36" i="31"/>
  <c r="D12" i="15"/>
  <c r="E12" i="15" s="1"/>
  <c r="F12" i="15" s="1"/>
  <c r="F14" i="15"/>
  <c r="H13" i="15"/>
  <c r="J13" i="15" s="1"/>
  <c r="L13" i="15" s="1"/>
  <c r="H12" i="15"/>
  <c r="R14" i="15"/>
  <c r="P12" i="15"/>
  <c r="Q12" i="15" s="1"/>
  <c r="R12" i="15" s="1"/>
  <c r="I5" i="14"/>
  <c r="P18" i="14" s="1"/>
  <c r="I6" i="14"/>
  <c r="P19" i="14" s="1"/>
  <c r="R19" i="14" s="1"/>
  <c r="I7" i="14"/>
  <c r="I9" i="14"/>
  <c r="I10" i="14"/>
  <c r="I4" i="14"/>
  <c r="I11" i="14"/>
  <c r="H8" i="14"/>
  <c r="H11" i="14"/>
  <c r="H7" i="14"/>
  <c r="H9" i="14"/>
  <c r="H10" i="14"/>
  <c r="H6" i="14"/>
  <c r="H4" i="14"/>
  <c r="H5" i="14"/>
  <c r="J12" i="11" a="1"/>
  <c r="J16" i="11" s="1"/>
  <c r="P19" i="11"/>
  <c r="Q19" i="11"/>
  <c r="R19" i="11"/>
  <c r="P18" i="11"/>
  <c r="S19" i="11"/>
  <c r="Q18" i="11"/>
  <c r="P16" i="11"/>
  <c r="R18" i="11"/>
  <c r="Q16" i="11"/>
  <c r="S18" i="11"/>
  <c r="S17" i="11"/>
  <c r="R16" i="11"/>
  <c r="P17" i="11"/>
  <c r="R17" i="11"/>
  <c r="S16" i="11"/>
  <c r="Q17" i="11"/>
  <c r="T19" i="11"/>
  <c r="T18" i="11"/>
  <c r="T16" i="11"/>
  <c r="T17" i="11"/>
  <c r="J17" i="10"/>
  <c r="G17" i="10"/>
  <c r="K19" i="10" s="1" a="1"/>
  <c r="K20" i="10" s="1"/>
  <c r="A19" i="10" a="1"/>
  <c r="P27" i="9"/>
  <c r="R26" i="9"/>
  <c r="T28" i="9"/>
  <c r="K20" i="9"/>
  <c r="P28" i="9"/>
  <c r="K24" i="9"/>
  <c r="Q28" i="9"/>
  <c r="D26" i="9"/>
  <c r="K26" i="9" s="1"/>
  <c r="I21" i="9"/>
  <c r="F21" i="9"/>
  <c r="K25" i="9"/>
  <c r="F25" i="9"/>
  <c r="J25" i="9"/>
  <c r="H25" i="9"/>
  <c r="D23" i="9"/>
  <c r="K23" i="9" s="1"/>
  <c r="E25" i="9"/>
  <c r="K21" i="9"/>
  <c r="J20" i="9"/>
  <c r="N5" i="9"/>
  <c r="V29" i="9"/>
  <c r="U29" i="9"/>
  <c r="I24" i="9"/>
  <c r="J21" i="9"/>
  <c r="H20" i="9"/>
  <c r="T27" i="9"/>
  <c r="I25" i="9"/>
  <c r="H21" i="9"/>
  <c r="G29" i="9"/>
  <c r="E29" i="9"/>
  <c r="R27" i="9"/>
  <c r="I22" i="9"/>
  <c r="G21" i="9"/>
  <c r="F20" i="9"/>
  <c r="V28" i="9"/>
  <c r="G27" i="9"/>
  <c r="E21" i="9"/>
  <c r="P26" i="9"/>
  <c r="U28" i="9"/>
  <c r="O8" i="9"/>
  <c r="F29" i="9"/>
  <c r="H29" i="9"/>
  <c r="I29" i="9"/>
  <c r="J27" i="9"/>
  <c r="K27" i="9"/>
  <c r="H27" i="9"/>
  <c r="F27" i="9"/>
  <c r="K28" i="9"/>
  <c r="T29" i="9"/>
  <c r="F28" i="9"/>
  <c r="I27" i="9"/>
  <c r="K9" i="9"/>
  <c r="M9" i="9" s="1"/>
  <c r="P29" i="9"/>
  <c r="V27" i="9"/>
  <c r="E27" i="9"/>
  <c r="N8" i="9"/>
  <c r="U27" i="9"/>
  <c r="G23" i="9"/>
  <c r="S27" i="9"/>
  <c r="V26" i="9"/>
  <c r="O4" i="9"/>
  <c r="K29" i="9"/>
  <c r="U26" i="9"/>
  <c r="E23" i="9"/>
  <c r="O7" i="9"/>
  <c r="N4" i="9"/>
  <c r="J29" i="9"/>
  <c r="Q27" i="9"/>
  <c r="T26" i="9"/>
  <c r="N7" i="9"/>
  <c r="S26" i="9"/>
  <c r="J28" i="9"/>
  <c r="Q26" i="9"/>
  <c r="O6" i="9"/>
  <c r="H28" i="9"/>
  <c r="N6" i="9"/>
  <c r="H26" i="9" l="1"/>
  <c r="J26" i="9"/>
  <c r="F23" i="9"/>
  <c r="L19" i="10" a="1"/>
  <c r="N20" i="10" s="1"/>
  <c r="O9" i="9"/>
  <c r="B37" i="31"/>
  <c r="J28" i="11" a="1"/>
  <c r="J30" i="11" s="1"/>
  <c r="J21" i="11" s="1"/>
  <c r="L21" i="11" s="1"/>
  <c r="L14" i="15"/>
  <c r="J12" i="15"/>
  <c r="K12" i="15" s="1"/>
  <c r="L12" i="15" s="1"/>
  <c r="J12" i="11"/>
  <c r="J14" i="11"/>
  <c r="J4" i="11" s="1"/>
  <c r="L4" i="11" s="1"/>
  <c r="J17" i="11"/>
  <c r="J13" i="11"/>
  <c r="J3" i="11" s="1"/>
  <c r="L3" i="11" s="1"/>
  <c r="P6" i="14"/>
  <c r="P7" i="14"/>
  <c r="R7" i="14" s="1"/>
  <c r="T19" i="14"/>
  <c r="S14" i="14"/>
  <c r="T14" i="14" s="1"/>
  <c r="S15" i="14"/>
  <c r="T15" i="14" s="1"/>
  <c r="S17" i="14"/>
  <c r="T17" i="14" s="1"/>
  <c r="S16" i="14"/>
  <c r="T16" i="14" s="1"/>
  <c r="P20" i="14"/>
  <c r="T20" i="14"/>
  <c r="R18" i="14"/>
  <c r="S18" i="14" s="1"/>
  <c r="T18" i="14" s="1"/>
  <c r="J15" i="11"/>
  <c r="J5" i="11" s="1"/>
  <c r="L5" i="11" s="1"/>
  <c r="K22" i="10"/>
  <c r="K25" i="10"/>
  <c r="K24" i="10"/>
  <c r="K23" i="10"/>
  <c r="K28" i="10"/>
  <c r="K27" i="10"/>
  <c r="K21" i="10"/>
  <c r="K19" i="10"/>
  <c r="K26" i="10"/>
  <c r="B21" i="10"/>
  <c r="F23" i="10"/>
  <c r="A19" i="10"/>
  <c r="I20" i="10"/>
  <c r="C21" i="10"/>
  <c r="G23" i="10"/>
  <c r="B24" i="10"/>
  <c r="H26" i="10"/>
  <c r="C27" i="10"/>
  <c r="F19" i="10"/>
  <c r="E22" i="10"/>
  <c r="I22" i="10"/>
  <c r="B19" i="10"/>
  <c r="J20" i="10"/>
  <c r="D21" i="10"/>
  <c r="H23" i="10"/>
  <c r="C24" i="10"/>
  <c r="I26" i="10"/>
  <c r="D27" i="10"/>
  <c r="J25" i="10"/>
  <c r="C19" i="10"/>
  <c r="E21" i="10"/>
  <c r="I23" i="10"/>
  <c r="D24" i="10"/>
  <c r="J26" i="10"/>
  <c r="E27" i="10"/>
  <c r="B28" i="10"/>
  <c r="H21" i="10"/>
  <c r="I19" i="10"/>
  <c r="E25" i="10"/>
  <c r="H28" i="10"/>
  <c r="D19" i="10"/>
  <c r="F21" i="10"/>
  <c r="J23" i="10"/>
  <c r="E24" i="10"/>
  <c r="F27" i="10"/>
  <c r="A28" i="10"/>
  <c r="B25" i="10"/>
  <c r="C28" i="10"/>
  <c r="F28" i="10"/>
  <c r="H25" i="10"/>
  <c r="E19" i="10"/>
  <c r="G21" i="10"/>
  <c r="A22" i="10"/>
  <c r="F24" i="10"/>
  <c r="A25" i="10"/>
  <c r="G27" i="10"/>
  <c r="G24" i="10"/>
  <c r="H27" i="10"/>
  <c r="J24" i="10"/>
  <c r="I28" i="10"/>
  <c r="C23" i="10"/>
  <c r="I25" i="10"/>
  <c r="B22" i="10"/>
  <c r="G25" i="10"/>
  <c r="C26" i="10"/>
  <c r="F20" i="10"/>
  <c r="F26" i="10"/>
  <c r="G19" i="10"/>
  <c r="I21" i="10"/>
  <c r="C22" i="10"/>
  <c r="H24" i="10"/>
  <c r="C25" i="10"/>
  <c r="I27" i="10"/>
  <c r="D28" i="10"/>
  <c r="J21" i="10"/>
  <c r="D25" i="10"/>
  <c r="E28" i="10"/>
  <c r="A20" i="10"/>
  <c r="H19" i="10"/>
  <c r="D22" i="10"/>
  <c r="I24" i="10"/>
  <c r="J27" i="10"/>
  <c r="D20" i="10"/>
  <c r="D26" i="10"/>
  <c r="J22" i="10"/>
  <c r="E20" i="10"/>
  <c r="E26" i="10"/>
  <c r="G26" i="10"/>
  <c r="J19" i="10"/>
  <c r="B20" i="10"/>
  <c r="F22" i="10"/>
  <c r="F25" i="10"/>
  <c r="A26" i="10"/>
  <c r="G28" i="10"/>
  <c r="C20" i="10"/>
  <c r="G22" i="10"/>
  <c r="A23" i="10"/>
  <c r="B26" i="10"/>
  <c r="B23" i="10"/>
  <c r="J28" i="10"/>
  <c r="B27" i="10"/>
  <c r="H22" i="10"/>
  <c r="D23" i="10"/>
  <c r="G20" i="10"/>
  <c r="A21" i="10"/>
  <c r="E23" i="10"/>
  <c r="A27" i="10"/>
  <c r="H20" i="10"/>
  <c r="A24" i="10"/>
  <c r="N9" i="9"/>
  <c r="I26" i="9"/>
  <c r="F26" i="9"/>
  <c r="M31" i="9" a="1"/>
  <c r="S39" i="9" s="1"/>
  <c r="H23" i="9"/>
  <c r="I23" i="9"/>
  <c r="J23" i="9"/>
  <c r="L23" i="10" l="1"/>
  <c r="S21" i="10"/>
  <c r="U20" i="10"/>
  <c r="R21" i="10"/>
  <c r="N28" i="10"/>
  <c r="P19" i="10"/>
  <c r="N23" i="10"/>
  <c r="N22" i="10"/>
  <c r="L20" i="10"/>
  <c r="Q21" i="10"/>
  <c r="O28" i="10"/>
  <c r="S25" i="10"/>
  <c r="R27" i="10"/>
  <c r="M23" i="10"/>
  <c r="O24" i="10"/>
  <c r="O21" i="10"/>
  <c r="Q26" i="10"/>
  <c r="U27" i="10"/>
  <c r="U26" i="10"/>
  <c r="U24" i="10"/>
  <c r="S27" i="10"/>
  <c r="P23" i="10"/>
  <c r="P20" i="10"/>
  <c r="T27" i="10"/>
  <c r="S22" i="10"/>
  <c r="S23" i="10"/>
  <c r="O22" i="10"/>
  <c r="U23" i="10"/>
  <c r="T25" i="10"/>
  <c r="U28" i="10"/>
  <c r="P28" i="10"/>
  <c r="O19" i="10"/>
  <c r="N25" i="10"/>
  <c r="R28" i="10"/>
  <c r="S28" i="10"/>
  <c r="U19" i="10"/>
  <c r="N27" i="10"/>
  <c r="Q22" i="10"/>
  <c r="T21" i="10"/>
  <c r="P25" i="10"/>
  <c r="Q19" i="10"/>
  <c r="M21" i="10"/>
  <c r="R24" i="10"/>
  <c r="S24" i="10"/>
  <c r="P21" i="10"/>
  <c r="P26" i="10"/>
  <c r="O26" i="10"/>
  <c r="O25" i="10"/>
  <c r="L27" i="10"/>
  <c r="T28" i="10"/>
  <c r="L21" i="10"/>
  <c r="M22" i="10"/>
  <c r="R20" i="10"/>
  <c r="M19" i="10"/>
  <c r="L25" i="10"/>
  <c r="M26" i="10"/>
  <c r="S19" i="10"/>
  <c r="L26" i="10"/>
  <c r="L24" i="10"/>
  <c r="M27" i="10"/>
  <c r="Q27" i="10"/>
  <c r="L19" i="10"/>
  <c r="U21" i="10"/>
  <c r="Q23" i="10"/>
  <c r="O27" i="10"/>
  <c r="T22" i="10"/>
  <c r="R25" i="10"/>
  <c r="N26" i="10"/>
  <c r="L22" i="10"/>
  <c r="Q28" i="10"/>
  <c r="T20" i="10"/>
  <c r="T19" i="10"/>
  <c r="U25" i="10"/>
  <c r="U22" i="10"/>
  <c r="I11" i="9" a="1"/>
  <c r="K11" i="9" s="1"/>
  <c r="L28" i="10"/>
  <c r="Q25" i="10"/>
  <c r="M24" i="10"/>
  <c r="S20" i="10"/>
  <c r="M20" i="10"/>
  <c r="R23" i="10"/>
  <c r="T24" i="10"/>
  <c r="R19" i="10"/>
  <c r="P27" i="10"/>
  <c r="S26" i="10"/>
  <c r="O23" i="10"/>
  <c r="P22" i="10"/>
  <c r="M25" i="10"/>
  <c r="P24" i="10"/>
  <c r="T23" i="10"/>
  <c r="N19" i="10"/>
  <c r="T26" i="10"/>
  <c r="Q24" i="10"/>
  <c r="R22" i="10"/>
  <c r="N24" i="10"/>
  <c r="Q20" i="10"/>
  <c r="O20" i="10"/>
  <c r="R26" i="10"/>
  <c r="N21" i="10"/>
  <c r="M28" i="10"/>
  <c r="B38" i="31"/>
  <c r="J31" i="11"/>
  <c r="J22" i="11" s="1"/>
  <c r="L22" i="11" s="1"/>
  <c r="J29" i="11"/>
  <c r="J20" i="11" s="1"/>
  <c r="L20" i="11" s="1"/>
  <c r="J28" i="11"/>
  <c r="H3" i="11" a="1"/>
  <c r="H13" i="11" s="1"/>
  <c r="T7" i="14"/>
  <c r="S3" i="14"/>
  <c r="T3" i="14" s="1"/>
  <c r="S5" i="14"/>
  <c r="T5" i="14" s="1"/>
  <c r="S4" i="14"/>
  <c r="T4" i="14" s="1"/>
  <c r="R6" i="14"/>
  <c r="S6" i="14" s="1"/>
  <c r="T6" i="14" s="1"/>
  <c r="T8" i="14"/>
  <c r="L17" i="9"/>
  <c r="J14" i="9"/>
  <c r="L16" i="9"/>
  <c r="J12" i="9"/>
  <c r="K14" i="9"/>
  <c r="J13" i="9"/>
  <c r="L15" i="9"/>
  <c r="N16" i="9"/>
  <c r="K13" i="9"/>
  <c r="O14" i="9"/>
  <c r="O17" i="9"/>
  <c r="K16" i="9"/>
  <c r="I14" i="9"/>
  <c r="J15" i="9"/>
  <c r="K15" i="9"/>
  <c r="O15" i="9"/>
  <c r="L11" i="9"/>
  <c r="J17" i="9"/>
  <c r="L13" i="9"/>
  <c r="L14" i="9"/>
  <c r="M17" i="9"/>
  <c r="O16" i="9"/>
  <c r="I15" i="9"/>
  <c r="O12" i="9"/>
  <c r="N17" i="9"/>
  <c r="I16" i="9"/>
  <c r="M11" i="9"/>
  <c r="N11" i="9"/>
  <c r="K17" i="9"/>
  <c r="K12" i="9"/>
  <c r="N15" i="9"/>
  <c r="B31" i="9" a="1"/>
  <c r="B35" i="9" s="1"/>
  <c r="V37" i="9"/>
  <c r="T37" i="9"/>
  <c r="Q34" i="9"/>
  <c r="V38" i="9"/>
  <c r="N31" i="9"/>
  <c r="Q37" i="9"/>
  <c r="N37" i="9"/>
  <c r="P34" i="9"/>
  <c r="R35" i="9"/>
  <c r="T34" i="9"/>
  <c r="N35" i="9"/>
  <c r="V39" i="9"/>
  <c r="S33" i="9"/>
  <c r="P31" i="9"/>
  <c r="U35" i="9"/>
  <c r="Q32" i="9"/>
  <c r="M34" i="9"/>
  <c r="V35" i="9"/>
  <c r="O39" i="9"/>
  <c r="V32" i="9"/>
  <c r="Q39" i="9"/>
  <c r="O37" i="9"/>
  <c r="U40" i="9"/>
  <c r="N36" i="9"/>
  <c r="O40" i="9"/>
  <c r="Q35" i="9"/>
  <c r="Q31" i="9"/>
  <c r="U36" i="9"/>
  <c r="N32" i="9"/>
  <c r="T33" i="9"/>
  <c r="Q33" i="9"/>
  <c r="N33" i="9"/>
  <c r="S38" i="9"/>
  <c r="O36" i="9"/>
  <c r="O38" i="9"/>
  <c r="U32" i="9"/>
  <c r="R32" i="9"/>
  <c r="S36" i="9"/>
  <c r="U37" i="9"/>
  <c r="O35" i="9"/>
  <c r="Q36" i="9"/>
  <c r="R34" i="9"/>
  <c r="U31" i="9"/>
  <c r="M31" i="9"/>
  <c r="P33" i="9"/>
  <c r="O32" i="9"/>
  <c r="V40" i="9"/>
  <c r="Q38" i="9"/>
  <c r="V31" i="9"/>
  <c r="P40" i="9"/>
  <c r="S31" i="9"/>
  <c r="S34" i="9"/>
  <c r="R38" i="9"/>
  <c r="V33" i="9"/>
  <c r="R36" i="9"/>
  <c r="P37" i="9"/>
  <c r="M35" i="9"/>
  <c r="R31" i="9"/>
  <c r="M40" i="9"/>
  <c r="N38" i="9"/>
  <c r="O34" i="9"/>
  <c r="M39" i="9"/>
  <c r="T39" i="9"/>
  <c r="U38" i="9"/>
  <c r="O31" i="9"/>
  <c r="S40" i="9"/>
  <c r="R40" i="9"/>
  <c r="S35" i="9"/>
  <c r="M33" i="9"/>
  <c r="P35" i="9"/>
  <c r="S37" i="9"/>
  <c r="R37" i="9"/>
  <c r="T36" i="9"/>
  <c r="O33" i="9"/>
  <c r="U34" i="9"/>
  <c r="M32" i="9"/>
  <c r="V36" i="9"/>
  <c r="S32" i="9"/>
  <c r="Q40" i="9"/>
  <c r="T35" i="9"/>
  <c r="P39" i="9"/>
  <c r="M38" i="9"/>
  <c r="V34" i="9"/>
  <c r="M36" i="9"/>
  <c r="P36" i="9"/>
  <c r="T38" i="9"/>
  <c r="N34" i="9"/>
  <c r="P38" i="9"/>
  <c r="U39" i="9"/>
  <c r="P32" i="9"/>
  <c r="U33" i="9"/>
  <c r="T32" i="9"/>
  <c r="N40" i="9"/>
  <c r="R39" i="9"/>
  <c r="N39" i="9"/>
  <c r="R33" i="9"/>
  <c r="T40" i="9"/>
  <c r="M37" i="9"/>
  <c r="T31" i="9"/>
  <c r="H3" i="8" a="1"/>
  <c r="H3" i="8" s="1"/>
  <c r="N8" i="10" l="1" a="1"/>
  <c r="N11" i="10" s="1"/>
  <c r="J16" i="9"/>
  <c r="N12" i="9"/>
  <c r="M12" i="9"/>
  <c r="O11" i="9"/>
  <c r="I11" i="9"/>
  <c r="M13" i="9"/>
  <c r="O13" i="9"/>
  <c r="M15" i="9"/>
  <c r="N13" i="9"/>
  <c r="M14" i="9"/>
  <c r="L12" i="9"/>
  <c r="I13" i="9"/>
  <c r="N14" i="9"/>
  <c r="I17" i="9"/>
  <c r="I12" i="9"/>
  <c r="J11" i="9"/>
  <c r="M16" i="9"/>
  <c r="B39" i="31"/>
  <c r="T3" i="11" a="1"/>
  <c r="T13" i="11" s="1"/>
  <c r="H4" i="11"/>
  <c r="H5" i="11"/>
  <c r="H12" i="11"/>
  <c r="H14" i="11"/>
  <c r="H3" i="11"/>
  <c r="H11" i="11"/>
  <c r="H6" i="11"/>
  <c r="H7" i="11"/>
  <c r="H10" i="11"/>
  <c r="H8" i="11"/>
  <c r="H9" i="11"/>
  <c r="N12" i="10"/>
  <c r="N17" i="10"/>
  <c r="N8" i="10"/>
  <c r="N14" i="10"/>
  <c r="N10" i="10"/>
  <c r="I32" i="9"/>
  <c r="C32" i="9"/>
  <c r="C34" i="9"/>
  <c r="J38" i="9"/>
  <c r="F33" i="9"/>
  <c r="D39" i="9"/>
  <c r="C31" i="9"/>
  <c r="K35" i="9"/>
  <c r="I37" i="9"/>
  <c r="G37" i="9"/>
  <c r="E31" i="9"/>
  <c r="B40" i="9"/>
  <c r="B36" i="9"/>
  <c r="J40" i="9"/>
  <c r="E37" i="9"/>
  <c r="B38" i="9"/>
  <c r="F31" i="9"/>
  <c r="B34" i="9"/>
  <c r="C35" i="9"/>
  <c r="H40" i="9"/>
  <c r="F37" i="9"/>
  <c r="G31" i="9"/>
  <c r="G40" i="9"/>
  <c r="H37" i="9"/>
  <c r="C38" i="9"/>
  <c r="K39" i="9"/>
  <c r="H39" i="9"/>
  <c r="C33" i="9"/>
  <c r="G33" i="9"/>
  <c r="D33" i="9"/>
  <c r="B39" i="9"/>
  <c r="D37" i="9"/>
  <c r="H36" i="9"/>
  <c r="C36" i="9"/>
  <c r="D38" i="9"/>
  <c r="J35" i="9"/>
  <c r="I38" i="9"/>
  <c r="D32" i="9"/>
  <c r="F38" i="9"/>
  <c r="G36" i="9"/>
  <c r="D34" i="9"/>
  <c r="K31" i="9"/>
  <c r="E33" i="9"/>
  <c r="B32" i="9"/>
  <c r="K38" i="9"/>
  <c r="J32" i="9"/>
  <c r="K36" i="9"/>
  <c r="H33" i="9"/>
  <c r="H32" i="9"/>
  <c r="E34" i="9"/>
  <c r="G34" i="9"/>
  <c r="C40" i="9"/>
  <c r="I34" i="9"/>
  <c r="I31" i="9"/>
  <c r="E39" i="9"/>
  <c r="J33" i="9"/>
  <c r="J31" i="9"/>
  <c r="F39" i="9"/>
  <c r="E36" i="9"/>
  <c r="H38" i="9"/>
  <c r="F32" i="9"/>
  <c r="G35" i="9"/>
  <c r="D40" i="9"/>
  <c r="B37" i="9"/>
  <c r="K40" i="9"/>
  <c r="F40" i="9"/>
  <c r="K34" i="9"/>
  <c r="D35" i="9"/>
  <c r="K37" i="9"/>
  <c r="G32" i="9"/>
  <c r="I35" i="9"/>
  <c r="E38" i="9"/>
  <c r="E32" i="9"/>
  <c r="K33" i="9"/>
  <c r="D36" i="9"/>
  <c r="D31" i="9"/>
  <c r="F36" i="9"/>
  <c r="J34" i="9"/>
  <c r="E40" i="9"/>
  <c r="J36" i="9"/>
  <c r="H34" i="9"/>
  <c r="J39" i="9"/>
  <c r="B31" i="9"/>
  <c r="G38" i="9"/>
  <c r="K32" i="9"/>
  <c r="C39" i="9"/>
  <c r="H35" i="9"/>
  <c r="J37" i="9"/>
  <c r="I33" i="9"/>
  <c r="B33" i="9"/>
  <c r="E35" i="9"/>
  <c r="G39" i="9"/>
  <c r="C37" i="9"/>
  <c r="I36" i="9"/>
  <c r="H31" i="9"/>
  <c r="F34" i="9"/>
  <c r="I39" i="9"/>
  <c r="I40" i="9"/>
  <c r="F35" i="9"/>
  <c r="H6" i="8"/>
  <c r="H5" i="8"/>
  <c r="H4" i="8"/>
  <c r="B3" i="7"/>
  <c r="C3" i="7" s="1"/>
  <c r="L4" i="7"/>
  <c r="O4" i="7"/>
  <c r="O5" i="7"/>
  <c r="N15" i="10" l="1"/>
  <c r="N9" i="10"/>
  <c r="N16" i="10"/>
  <c r="N13" i="10"/>
  <c r="L3" i="10" s="1" a="1"/>
  <c r="L10" i="10" s="1"/>
  <c r="T10" i="11"/>
  <c r="T4" i="11"/>
  <c r="J7" i="11"/>
  <c r="N9" i="11" s="1"/>
  <c r="O9" i="11" s="1"/>
  <c r="B40" i="31"/>
  <c r="T3" i="11"/>
  <c r="T5" i="11"/>
  <c r="T6" i="11"/>
  <c r="T7" i="11"/>
  <c r="T8" i="11"/>
  <c r="T12" i="11"/>
  <c r="T11" i="11"/>
  <c r="T9" i="11"/>
  <c r="T14" i="11"/>
  <c r="J8" i="11"/>
  <c r="L8" i="11" s="1"/>
  <c r="M5" i="11" s="1"/>
  <c r="N5" i="11" s="1"/>
  <c r="O5" i="11" s="1"/>
  <c r="H7" i="8"/>
  <c r="E3" i="7"/>
  <c r="B4" i="7"/>
  <c r="D4" i="7" s="1"/>
  <c r="D3" i="7"/>
  <c r="N6" i="7"/>
  <c r="O6" i="7"/>
  <c r="K12" i="11" l="1" a="1"/>
  <c r="K15" i="11" s="1"/>
  <c r="M15" i="11" s="1"/>
  <c r="N15" i="11" s="1"/>
  <c r="O15" i="11" s="1"/>
  <c r="L7" i="11"/>
  <c r="M7" i="11" s="1"/>
  <c r="N7" i="11" s="1"/>
  <c r="O7" i="11" s="1"/>
  <c r="J6" i="11"/>
  <c r="L6" i="11" s="1"/>
  <c r="M6" i="11" s="1"/>
  <c r="N6" i="11" s="1"/>
  <c r="O6" i="11" s="1"/>
  <c r="B41" i="31"/>
  <c r="J24" i="11"/>
  <c r="L24" i="11" s="1"/>
  <c r="N24" i="11" s="1"/>
  <c r="O24" i="11" s="1"/>
  <c r="J23" i="11" a="1"/>
  <c r="J23" i="11" s="1"/>
  <c r="L23" i="11" s="1"/>
  <c r="L14" i="10"/>
  <c r="L3" i="10"/>
  <c r="L15" i="10"/>
  <c r="L12" i="10"/>
  <c r="L5" i="10"/>
  <c r="L11" i="10"/>
  <c r="L7" i="10"/>
  <c r="L13" i="10"/>
  <c r="L8" i="10"/>
  <c r="L4" i="10"/>
  <c r="L6" i="10"/>
  <c r="L16" i="10"/>
  <c r="L9" i="10"/>
  <c r="L17" i="10"/>
  <c r="M4" i="11"/>
  <c r="N4" i="11" s="1"/>
  <c r="O4" i="11" s="1"/>
  <c r="M3" i="11"/>
  <c r="N3" i="11" s="1"/>
  <c r="O3" i="11" s="1"/>
  <c r="N8" i="11"/>
  <c r="O8" i="11" s="1"/>
  <c r="P6" i="7"/>
  <c r="E4" i="7"/>
  <c r="C4" i="7"/>
  <c r="B5" i="7"/>
  <c r="O9" i="7"/>
  <c r="O10" i="7"/>
  <c r="N11" i="7"/>
  <c r="O11" i="7"/>
  <c r="C13" i="7"/>
  <c r="D13" i="7"/>
  <c r="E13" i="7"/>
  <c r="M23" i="11" l="1"/>
  <c r="N23" i="11" s="1"/>
  <c r="O23" i="11" s="1"/>
  <c r="K13" i="11"/>
  <c r="M13" i="11" s="1"/>
  <c r="N13" i="11" s="1"/>
  <c r="O13" i="11" s="1"/>
  <c r="K17" i="11"/>
  <c r="M17" i="11" s="1"/>
  <c r="N17" i="11" s="1"/>
  <c r="O17" i="11" s="1"/>
  <c r="K14" i="11"/>
  <c r="M14" i="11" s="1"/>
  <c r="N14" i="11" s="1"/>
  <c r="O14" i="11" s="1"/>
  <c r="K12" i="11"/>
  <c r="M12" i="11" s="1"/>
  <c r="N12" i="11" s="1"/>
  <c r="O12" i="11" s="1"/>
  <c r="K16" i="11"/>
  <c r="M16" i="11" s="1"/>
  <c r="N16" i="11" s="1"/>
  <c r="O16" i="11" s="1"/>
  <c r="K28" i="11" a="1"/>
  <c r="K30" i="11" s="1"/>
  <c r="M30" i="11" s="1"/>
  <c r="N30" i="11" s="1"/>
  <c r="O30" i="11" s="1"/>
  <c r="M22" i="11"/>
  <c r="N22" i="11" s="1"/>
  <c r="O22" i="11" s="1"/>
  <c r="M20" i="11"/>
  <c r="N20" i="11" s="1"/>
  <c r="O20" i="11" s="1"/>
  <c r="M21" i="11"/>
  <c r="N21" i="11" s="1"/>
  <c r="O21" i="11" s="1"/>
  <c r="N25" i="11"/>
  <c r="O25" i="11" s="1"/>
  <c r="B42" i="31"/>
  <c r="N4" i="10"/>
  <c r="P4" i="10" s="1"/>
  <c r="R4" i="10" s="1"/>
  <c r="N3" i="10"/>
  <c r="R5" i="10" s="1"/>
  <c r="D5" i="7"/>
  <c r="C5" i="7"/>
  <c r="E5" i="7"/>
  <c r="B6" i="7"/>
  <c r="P11" i="7"/>
  <c r="B14" i="7"/>
  <c r="C14" i="7" s="1"/>
  <c r="O14" i="7"/>
  <c r="O8" i="10" a="1"/>
  <c r="K31" i="11" l="1"/>
  <c r="M31" i="11" s="1"/>
  <c r="N31" i="11" s="1"/>
  <c r="O31" i="11" s="1"/>
  <c r="K28" i="11"/>
  <c r="M28" i="11" s="1"/>
  <c r="N28" i="11" s="1"/>
  <c r="O28" i="11" s="1"/>
  <c r="K29" i="11"/>
  <c r="M29" i="11" s="1"/>
  <c r="N29" i="11" s="1"/>
  <c r="O29" i="11" s="1"/>
  <c r="B43" i="31"/>
  <c r="O8" i="10"/>
  <c r="P8" i="10" s="1"/>
  <c r="Q8" i="10" s="1"/>
  <c r="R8" i="10" s="1"/>
  <c r="O9" i="10"/>
  <c r="P9" i="10" s="1"/>
  <c r="Q9" i="10" s="1"/>
  <c r="R9" i="10" s="1"/>
  <c r="O10" i="10"/>
  <c r="P10" i="10" s="1"/>
  <c r="Q10" i="10" s="1"/>
  <c r="R10" i="10" s="1"/>
  <c r="O11" i="10"/>
  <c r="P11" i="10" s="1"/>
  <c r="Q11" i="10" s="1"/>
  <c r="R11" i="10" s="1"/>
  <c r="O16" i="10"/>
  <c r="P16" i="10" s="1"/>
  <c r="Q16" i="10" s="1"/>
  <c r="R16" i="10" s="1"/>
  <c r="O15" i="10"/>
  <c r="P15" i="10" s="1"/>
  <c r="Q15" i="10" s="1"/>
  <c r="R15" i="10" s="1"/>
  <c r="O17" i="10"/>
  <c r="P17" i="10" s="1"/>
  <c r="Q17" i="10" s="1"/>
  <c r="R17" i="10" s="1"/>
  <c r="O13" i="10"/>
  <c r="P13" i="10" s="1"/>
  <c r="Q13" i="10" s="1"/>
  <c r="R13" i="10" s="1"/>
  <c r="O14" i="10"/>
  <c r="O12" i="10"/>
  <c r="P12" i="10" s="1"/>
  <c r="Q12" i="10" s="1"/>
  <c r="R12" i="10" s="1"/>
  <c r="P3" i="10"/>
  <c r="Q3" i="10" s="1"/>
  <c r="R3" i="10" s="1"/>
  <c r="P14" i="10"/>
  <c r="Q14" i="10" s="1"/>
  <c r="R14" i="10" s="1"/>
  <c r="D6" i="7"/>
  <c r="C6" i="7"/>
  <c r="E6" i="7"/>
  <c r="B7" i="7"/>
  <c r="E14" i="7"/>
  <c r="D14" i="7"/>
  <c r="B15" i="7"/>
  <c r="C15" i="7" s="1"/>
  <c r="O15" i="7"/>
  <c r="N16" i="7"/>
  <c r="O16" i="7"/>
  <c r="B16" i="7" l="1"/>
  <c r="B17" i="7" s="1"/>
  <c r="B44" i="31"/>
  <c r="C16" i="7"/>
  <c r="C7" i="7"/>
  <c r="B8" i="7"/>
  <c r="D7" i="7"/>
  <c r="E7" i="7"/>
  <c r="D15" i="7"/>
  <c r="P16" i="7"/>
  <c r="E15" i="7"/>
  <c r="D17" i="7"/>
  <c r="C17" i="7"/>
  <c r="B18" i="7"/>
  <c r="E17" i="7"/>
  <c r="E16" i="7"/>
  <c r="D16" i="7"/>
  <c r="B45" i="31" l="1"/>
  <c r="B9" i="7"/>
  <c r="D8" i="7"/>
  <c r="E8" i="7"/>
  <c r="C8" i="7"/>
  <c r="C18" i="7"/>
  <c r="D18" i="7"/>
  <c r="E18" i="7"/>
  <c r="B19" i="7"/>
  <c r="B20" i="7" s="1"/>
  <c r="O20" i="7"/>
  <c r="N21" i="7"/>
  <c r="O21" i="7"/>
  <c r="B46" i="31" l="1"/>
  <c r="P21" i="7"/>
  <c r="C9" i="7"/>
  <c r="B10" i="7"/>
  <c r="E9" i="7"/>
  <c r="D9" i="7"/>
  <c r="B21" i="7"/>
  <c r="B22" i="7" s="1"/>
  <c r="D20" i="7"/>
  <c r="E20" i="7"/>
  <c r="C20" i="7"/>
  <c r="C19" i="7"/>
  <c r="D19" i="7"/>
  <c r="E19" i="7"/>
  <c r="E21" i="7" l="1"/>
  <c r="D21" i="7"/>
  <c r="C21" i="7"/>
  <c r="B47" i="31"/>
  <c r="B11" i="7"/>
  <c r="C10" i="7"/>
  <c r="D10" i="7"/>
  <c r="E10" i="7"/>
  <c r="C22" i="7"/>
  <c r="D22" i="7"/>
  <c r="E22" i="7"/>
  <c r="B23" i="7"/>
  <c r="B48" i="31" l="1"/>
  <c r="B12" i="7"/>
  <c r="D11" i="7"/>
  <c r="C11" i="7"/>
  <c r="E11" i="7"/>
  <c r="C23" i="7"/>
  <c r="D23" i="7"/>
  <c r="E23" i="7"/>
  <c r="T4" i="7" a="1"/>
  <c r="B49" i="31" l="1"/>
  <c r="T4" i="7"/>
  <c r="E12" i="7"/>
  <c r="C12" i="7"/>
  <c r="D12" i="7"/>
  <c r="T9" i="7" a="1"/>
  <c r="T19" i="7" a="1"/>
  <c r="T14" i="7" a="1"/>
  <c r="B50" i="31" l="1"/>
  <c r="T14" i="7"/>
  <c r="T9" i="7"/>
  <c r="T19" i="7"/>
  <c r="H3" i="6"/>
  <c r="I3" i="6"/>
  <c r="L3" i="6" s="1"/>
  <c r="H4" i="6"/>
  <c r="K4" i="6" s="1"/>
  <c r="I4" i="6"/>
  <c r="H5" i="6"/>
  <c r="I5" i="6"/>
  <c r="L5" i="6" s="1"/>
  <c r="H6" i="6"/>
  <c r="K6" i="6" s="1"/>
  <c r="I6" i="6"/>
  <c r="H7" i="6"/>
  <c r="K7" i="6" s="1"/>
  <c r="I7" i="6"/>
  <c r="H8" i="6"/>
  <c r="K8" i="6" s="1"/>
  <c r="I8" i="6"/>
  <c r="L8" i="6" s="1"/>
  <c r="H9" i="6"/>
  <c r="K9" i="6" s="1"/>
  <c r="I9" i="6"/>
  <c r="H10" i="6"/>
  <c r="K10" i="6" s="1"/>
  <c r="I10" i="6"/>
  <c r="H11" i="6"/>
  <c r="K11" i="6" s="1"/>
  <c r="I11" i="6"/>
  <c r="H12" i="6"/>
  <c r="K12" i="6" s="1"/>
  <c r="I12" i="6"/>
  <c r="H13" i="6"/>
  <c r="K13" i="6" s="1"/>
  <c r="I13" i="6"/>
  <c r="H14" i="6"/>
  <c r="I14" i="6"/>
  <c r="L14" i="6" s="1"/>
  <c r="B15" i="6"/>
  <c r="C15" i="6"/>
  <c r="D15" i="6"/>
  <c r="G15" i="6"/>
  <c r="B16" i="6"/>
  <c r="C16" i="6"/>
  <c r="D16" i="6"/>
  <c r="G16" i="6"/>
  <c r="R20" i="6"/>
  <c r="Q21" i="6"/>
  <c r="R21" i="6"/>
  <c r="B51" i="31" l="1"/>
  <c r="J3" i="6"/>
  <c r="J5" i="6"/>
  <c r="J4" i="6"/>
  <c r="J10" i="6"/>
  <c r="K3" i="6"/>
  <c r="J12" i="6"/>
  <c r="K5" i="6"/>
  <c r="J6" i="6"/>
  <c r="F14" i="6"/>
  <c r="J11" i="6"/>
  <c r="J14" i="6"/>
  <c r="J9" i="6"/>
  <c r="J13" i="6"/>
  <c r="H15" i="6"/>
  <c r="L4" i="6"/>
  <c r="J8" i="6"/>
  <c r="S21" i="6"/>
  <c r="F8" i="6"/>
  <c r="I16" i="6"/>
  <c r="H16" i="6"/>
  <c r="F9" i="6"/>
  <c r="F7" i="6"/>
  <c r="F6" i="6"/>
  <c r="F5" i="6"/>
  <c r="F4" i="6"/>
  <c r="L12" i="6"/>
  <c r="L11" i="6"/>
  <c r="L10" i="6"/>
  <c r="L13" i="6"/>
  <c r="F3" i="6"/>
  <c r="K14" i="6"/>
  <c r="L9" i="6"/>
  <c r="L7" i="6"/>
  <c r="I15" i="6"/>
  <c r="F12" i="6"/>
  <c r="F11" i="6"/>
  <c r="F10" i="6"/>
  <c r="F13" i="6"/>
  <c r="J7" i="6"/>
  <c r="L6" i="6"/>
  <c r="P32" i="6"/>
  <c r="P30" i="6"/>
  <c r="P31" i="6"/>
  <c r="P29" i="6"/>
  <c r="P28" i="6" a="1"/>
  <c r="B52" i="31" l="1"/>
  <c r="K16" i="6"/>
  <c r="P9" i="6" s="1"/>
  <c r="J15" i="6"/>
  <c r="P28" i="6"/>
  <c r="M4" i="6"/>
  <c r="M8" i="6"/>
  <c r="M5" i="6"/>
  <c r="M13" i="6"/>
  <c r="M10" i="6"/>
  <c r="M6" i="6"/>
  <c r="M11" i="6"/>
  <c r="M9" i="6"/>
  <c r="M12" i="6"/>
  <c r="N14" i="6"/>
  <c r="M7" i="6"/>
  <c r="M3" i="6"/>
  <c r="J16" i="6"/>
  <c r="B19" i="6" a="1"/>
  <c r="B23" i="6" s="1"/>
  <c r="M14" i="6"/>
  <c r="N6" i="6"/>
  <c r="N8" i="6"/>
  <c r="N10" i="6"/>
  <c r="N11" i="6"/>
  <c r="N12" i="6"/>
  <c r="N3" i="6"/>
  <c r="N13" i="6"/>
  <c r="N4" i="6"/>
  <c r="F16" i="6"/>
  <c r="L16" i="6"/>
  <c r="Q10" i="6" s="1"/>
  <c r="N7" i="6"/>
  <c r="N5" i="6"/>
  <c r="N9" i="6"/>
  <c r="N19" i="6" a="1"/>
  <c r="B53" i="31" l="1"/>
  <c r="O10" i="6"/>
  <c r="P13" i="6"/>
  <c r="P12" i="6"/>
  <c r="P4" i="6"/>
  <c r="P7" i="6"/>
  <c r="P11" i="6"/>
  <c r="P6" i="6"/>
  <c r="P14" i="6"/>
  <c r="P8" i="6"/>
  <c r="P10" i="6"/>
  <c r="P3" i="6"/>
  <c r="P16" i="6" s="1"/>
  <c r="P5" i="6"/>
  <c r="O4" i="6"/>
  <c r="O3" i="6"/>
  <c r="O13" i="6"/>
  <c r="M15" i="6"/>
  <c r="O5" i="6"/>
  <c r="M16" i="6"/>
  <c r="O11" i="6"/>
  <c r="O7" i="6"/>
  <c r="O6" i="6"/>
  <c r="O9" i="6"/>
  <c r="O12" i="6"/>
  <c r="Q12" i="6"/>
  <c r="O8" i="6"/>
  <c r="Q6" i="6"/>
  <c r="O14" i="6"/>
  <c r="G21" i="6"/>
  <c r="B22" i="6"/>
  <c r="D24" i="6"/>
  <c r="D22" i="6"/>
  <c r="C22" i="6"/>
  <c r="C21" i="6"/>
  <c r="B20" i="6"/>
  <c r="F20" i="6"/>
  <c r="C24" i="6"/>
  <c r="F24" i="6"/>
  <c r="F23" i="6"/>
  <c r="C23" i="6"/>
  <c r="G20" i="6"/>
  <c r="D20" i="6"/>
  <c r="E23" i="6"/>
  <c r="B19" i="6"/>
  <c r="G24" i="6"/>
  <c r="C20" i="6"/>
  <c r="B21" i="6"/>
  <c r="B24" i="6"/>
  <c r="F21" i="6"/>
  <c r="D19" i="6"/>
  <c r="F22" i="6"/>
  <c r="G22" i="6"/>
  <c r="C19" i="6"/>
  <c r="F19" i="6"/>
  <c r="E21" i="6"/>
  <c r="D23" i="6"/>
  <c r="E22" i="6"/>
  <c r="E19" i="6"/>
  <c r="D21" i="6"/>
  <c r="E20" i="6"/>
  <c r="G19" i="6"/>
  <c r="E24" i="6"/>
  <c r="G23" i="6"/>
  <c r="Q9" i="6"/>
  <c r="Q7" i="6"/>
  <c r="N16" i="6"/>
  <c r="N15" i="6"/>
  <c r="Q11" i="6"/>
  <c r="N23" i="6"/>
  <c r="N19" i="6"/>
  <c r="N20" i="6"/>
  <c r="N21" i="6"/>
  <c r="N22" i="6"/>
  <c r="N24" i="6"/>
  <c r="Q14" i="6"/>
  <c r="Q3" i="6"/>
  <c r="Q5" i="6"/>
  <c r="Q8" i="6"/>
  <c r="Q4" i="6"/>
  <c r="Q13" i="6"/>
  <c r="B54" i="31" l="1"/>
  <c r="O16" i="6"/>
  <c r="B27" i="6" a="1"/>
  <c r="F31" i="6" s="1"/>
  <c r="O15" i="6"/>
  <c r="Q16" i="6"/>
  <c r="O20" i="6" a="1"/>
  <c r="H20" i="6" a="1"/>
  <c r="B55" i="31" l="1"/>
  <c r="D27" i="6"/>
  <c r="B31" i="6"/>
  <c r="D30" i="6"/>
  <c r="B29" i="6"/>
  <c r="F27" i="6"/>
  <c r="C32" i="6"/>
  <c r="D31" i="6"/>
  <c r="D29" i="6"/>
  <c r="C27" i="6"/>
  <c r="F29" i="6"/>
  <c r="B27" i="6"/>
  <c r="C28" i="6"/>
  <c r="F28" i="6"/>
  <c r="G32" i="6"/>
  <c r="C30" i="6"/>
  <c r="E28" i="6"/>
  <c r="B32" i="6"/>
  <c r="C31" i="6"/>
  <c r="F32" i="6"/>
  <c r="E31" i="6"/>
  <c r="B30" i="6"/>
  <c r="F30" i="6"/>
  <c r="C29" i="6"/>
  <c r="G28" i="6"/>
  <c r="G30" i="6"/>
  <c r="G29" i="6"/>
  <c r="G27" i="6"/>
  <c r="E29" i="6"/>
  <c r="D28" i="6"/>
  <c r="G31" i="6"/>
  <c r="E27" i="6"/>
  <c r="B28" i="6"/>
  <c r="D32" i="6"/>
  <c r="E32" i="6"/>
  <c r="E30" i="6"/>
  <c r="I20" i="6"/>
  <c r="I23" i="6"/>
  <c r="L24" i="6"/>
  <c r="J20" i="6"/>
  <c r="K20" i="6"/>
  <c r="I21" i="6"/>
  <c r="H22" i="6"/>
  <c r="K23" i="6"/>
  <c r="L20" i="6"/>
  <c r="J21" i="6"/>
  <c r="I22" i="6"/>
  <c r="L23" i="6"/>
  <c r="K21" i="6"/>
  <c r="J22" i="6"/>
  <c r="L21" i="6"/>
  <c r="K22" i="6"/>
  <c r="L22" i="6"/>
  <c r="J24" i="6"/>
  <c r="J23" i="6"/>
  <c r="H24" i="6"/>
  <c r="I24" i="6"/>
  <c r="H21" i="6"/>
  <c r="H20" i="6"/>
  <c r="H23" i="6"/>
  <c r="K24" i="6"/>
  <c r="O24" i="6"/>
  <c r="O23" i="6"/>
  <c r="O20" i="6"/>
  <c r="O21" i="6"/>
  <c r="O22" i="6"/>
  <c r="B56" i="31" l="1"/>
  <c r="N27" i="6" a="1"/>
  <c r="N31" i="6" s="1"/>
  <c r="H28" i="6" a="1"/>
  <c r="B57" i="31" l="1"/>
  <c r="N29" i="6"/>
  <c r="N30" i="6"/>
  <c r="N28" i="6"/>
  <c r="N27" i="6"/>
  <c r="N32" i="6"/>
  <c r="L30" i="6"/>
  <c r="J31" i="6"/>
  <c r="H32" i="6"/>
  <c r="L31" i="6"/>
  <c r="J32" i="6"/>
  <c r="K32" i="6"/>
  <c r="L32" i="6"/>
  <c r="H31" i="6"/>
  <c r="J30" i="6"/>
  <c r="L28" i="6"/>
  <c r="J29" i="6"/>
  <c r="K29" i="6"/>
  <c r="H28" i="6"/>
  <c r="L29" i="6"/>
  <c r="I32" i="6"/>
  <c r="I28" i="6"/>
  <c r="J28" i="6"/>
  <c r="K28" i="6"/>
  <c r="H29" i="6"/>
  <c r="I29" i="6"/>
  <c r="H30" i="6"/>
  <c r="I30" i="6"/>
  <c r="K31" i="6"/>
  <c r="K30" i="6"/>
  <c r="I31" i="6"/>
  <c r="B58" i="31" l="1"/>
  <c r="E3" i="6" a="1"/>
  <c r="E10" i="6" s="1"/>
  <c r="O28" i="6" a="1"/>
  <c r="B59" i="31" l="1"/>
  <c r="E14" i="6"/>
  <c r="E8" i="6"/>
  <c r="E6" i="6"/>
  <c r="E5" i="6"/>
  <c r="E9" i="6"/>
  <c r="E4" i="6"/>
  <c r="E7" i="6"/>
  <c r="E3" i="6"/>
  <c r="E13" i="6"/>
  <c r="E12" i="6"/>
  <c r="E11" i="6"/>
  <c r="O29" i="6"/>
  <c r="O30" i="6"/>
  <c r="O31" i="6"/>
  <c r="O32" i="6"/>
  <c r="O28" i="6"/>
  <c r="B60" i="31" l="1"/>
  <c r="E15" i="6"/>
  <c r="E16" i="6"/>
  <c r="Q20" i="6"/>
  <c r="S20" i="6" s="1"/>
  <c r="Q19" i="6"/>
  <c r="S19" i="6" s="1"/>
  <c r="R3" i="6" a="1"/>
  <c r="Q27" i="6" a="1"/>
  <c r="B61" i="31" l="1"/>
  <c r="T19" i="6"/>
  <c r="U19" i="6" s="1"/>
  <c r="Q27" i="6"/>
  <c r="Q29" i="6"/>
  <c r="Q28" i="6"/>
  <c r="Q30" i="6"/>
  <c r="Q31" i="6"/>
  <c r="R31" i="6" s="1"/>
  <c r="S31" i="6" s="1"/>
  <c r="Q32" i="6"/>
  <c r="U21" i="6"/>
  <c r="U20" i="6"/>
  <c r="R3" i="6"/>
  <c r="R4" i="6"/>
  <c r="S4" i="6" s="1"/>
  <c r="R5" i="6"/>
  <c r="S5" i="6" s="1"/>
  <c r="R11" i="6"/>
  <c r="S11" i="6" s="1"/>
  <c r="R10" i="6"/>
  <c r="S10" i="6" s="1"/>
  <c r="R6" i="6"/>
  <c r="S6" i="6" s="1"/>
  <c r="R8" i="6"/>
  <c r="S8" i="6" s="1"/>
  <c r="R7" i="6"/>
  <c r="S7" i="6" s="1"/>
  <c r="R9" i="6"/>
  <c r="S9" i="6" s="1"/>
  <c r="R14" i="6"/>
  <c r="S14" i="6" s="1"/>
  <c r="R13" i="6"/>
  <c r="S13" i="6" s="1"/>
  <c r="R12" i="6"/>
  <c r="S12" i="6" s="1"/>
  <c r="B62" i="31" l="1"/>
  <c r="R30" i="6"/>
  <c r="S30" i="6" s="1"/>
  <c r="R27" i="6"/>
  <c r="S27" i="6" s="1"/>
  <c r="R28" i="6"/>
  <c r="S28" i="6" s="1"/>
  <c r="R29" i="6"/>
  <c r="S29" i="6" s="1"/>
  <c r="R32" i="6"/>
  <c r="S32" i="6" s="1"/>
  <c r="S3" i="6"/>
  <c r="R16" i="6"/>
  <c r="B63" i="31" l="1"/>
  <c r="S15" i="6"/>
  <c r="S16" i="6"/>
  <c r="B64" i="31" l="1"/>
  <c r="I3" i="5"/>
  <c r="J3" i="5"/>
  <c r="K3" i="5"/>
  <c r="L3" i="5"/>
  <c r="M3" i="5"/>
  <c r="I4" i="5"/>
  <c r="J4" i="5"/>
  <c r="K4" i="5"/>
  <c r="L4" i="5"/>
  <c r="M4" i="5"/>
  <c r="I5" i="5"/>
  <c r="J5" i="5"/>
  <c r="K5" i="5"/>
  <c r="L5" i="5"/>
  <c r="M5" i="5"/>
  <c r="I6" i="5"/>
  <c r="J6" i="5"/>
  <c r="K6" i="5"/>
  <c r="L6" i="5"/>
  <c r="M6" i="5"/>
  <c r="I7" i="5"/>
  <c r="J7" i="5"/>
  <c r="K7" i="5"/>
  <c r="L7" i="5"/>
  <c r="M7" i="5"/>
  <c r="I8" i="5"/>
  <c r="J8" i="5"/>
  <c r="K8" i="5"/>
  <c r="L8" i="5"/>
  <c r="M8" i="5"/>
  <c r="I9" i="5"/>
  <c r="J9" i="5"/>
  <c r="K9" i="5"/>
  <c r="L9" i="5"/>
  <c r="M9" i="5"/>
  <c r="I10" i="5"/>
  <c r="J10" i="5"/>
  <c r="K10" i="5"/>
  <c r="L10" i="5"/>
  <c r="M10" i="5"/>
  <c r="P10" i="5"/>
  <c r="I11" i="5"/>
  <c r="J11" i="5"/>
  <c r="K11" i="5"/>
  <c r="L11" i="5"/>
  <c r="M11" i="5"/>
  <c r="P11" i="5"/>
  <c r="T10" i="5" s="1"/>
  <c r="I12" i="5"/>
  <c r="J12" i="5"/>
  <c r="K12" i="5"/>
  <c r="L12" i="5"/>
  <c r="M12" i="5"/>
  <c r="P12" i="5"/>
  <c r="I13" i="5"/>
  <c r="J13" i="5"/>
  <c r="K13" i="5"/>
  <c r="L13" i="5"/>
  <c r="M13" i="5"/>
  <c r="I14" i="5"/>
  <c r="J14" i="5"/>
  <c r="K14" i="5"/>
  <c r="L14" i="5"/>
  <c r="M14" i="5"/>
  <c r="I15" i="5"/>
  <c r="J15" i="5"/>
  <c r="K15" i="5"/>
  <c r="L15" i="5"/>
  <c r="M15" i="5"/>
  <c r="B65" i="31" l="1"/>
  <c r="I16" i="5"/>
  <c r="J16" i="5"/>
  <c r="K16" i="5"/>
  <c r="L16" i="5"/>
  <c r="M16" i="5"/>
  <c r="B66" i="31" l="1"/>
  <c r="I17" i="5"/>
  <c r="J17" i="5"/>
  <c r="K17" i="5"/>
  <c r="L17" i="5"/>
  <c r="M17" i="5"/>
  <c r="B67" i="31" l="1"/>
  <c r="I18" i="5"/>
  <c r="J18" i="5"/>
  <c r="K18" i="5"/>
  <c r="L18" i="5"/>
  <c r="M18" i="5"/>
  <c r="B68" i="31" l="1"/>
  <c r="I19" i="5"/>
  <c r="J19" i="5"/>
  <c r="K19" i="5"/>
  <c r="L19" i="5"/>
  <c r="M19" i="5"/>
  <c r="B69" i="31" l="1"/>
  <c r="I20" i="5"/>
  <c r="J20" i="5"/>
  <c r="K20" i="5"/>
  <c r="L20" i="5"/>
  <c r="M20" i="5"/>
  <c r="B70" i="31" l="1"/>
  <c r="I21" i="5"/>
  <c r="J21" i="5"/>
  <c r="K21" i="5"/>
  <c r="L21" i="5"/>
  <c r="M21" i="5"/>
  <c r="I22" i="5"/>
  <c r="J22" i="5"/>
  <c r="K22" i="5"/>
  <c r="L22" i="5"/>
  <c r="M22" i="5"/>
  <c r="I23" i="5"/>
  <c r="J23" i="5"/>
  <c r="K23" i="5"/>
  <c r="L23" i="5"/>
  <c r="M23" i="5"/>
  <c r="I24" i="5"/>
  <c r="J24" i="5"/>
  <c r="K24" i="5"/>
  <c r="L24" i="5"/>
  <c r="M24" i="5"/>
  <c r="I25" i="5"/>
  <c r="J25" i="5"/>
  <c r="K25" i="5"/>
  <c r="L25" i="5"/>
  <c r="M25" i="5"/>
  <c r="I26" i="5"/>
  <c r="J26" i="5"/>
  <c r="K26" i="5"/>
  <c r="L26" i="5"/>
  <c r="M26" i="5"/>
  <c r="I27" i="5"/>
  <c r="J27" i="5"/>
  <c r="K27" i="5"/>
  <c r="L27" i="5"/>
  <c r="M27" i="5"/>
  <c r="I28" i="5"/>
  <c r="J28" i="5"/>
  <c r="K28" i="5"/>
  <c r="L28" i="5"/>
  <c r="M28" i="5"/>
  <c r="I29" i="5"/>
  <c r="J29" i="5"/>
  <c r="K29" i="5"/>
  <c r="L29" i="5"/>
  <c r="M29" i="5"/>
  <c r="I30" i="5"/>
  <c r="J30" i="5"/>
  <c r="K30" i="5"/>
  <c r="L30" i="5"/>
  <c r="M30" i="5"/>
  <c r="B31" i="5"/>
  <c r="O12" i="5" s="1"/>
  <c r="D31" i="5"/>
  <c r="E31" i="5"/>
  <c r="F31" i="5"/>
  <c r="G31" i="5"/>
  <c r="H31" i="5"/>
  <c r="U31" i="5" a="1"/>
  <c r="U32" i="5" s="1"/>
  <c r="AB31" i="5" a="1"/>
  <c r="AB31" i="5" s="1"/>
  <c r="B32" i="5"/>
  <c r="D32" i="5"/>
  <c r="E32" i="5"/>
  <c r="F32" i="5"/>
  <c r="G32" i="5"/>
  <c r="H32" i="5"/>
  <c r="T20" i="5"/>
  <c r="T18" i="5"/>
  <c r="T19" i="5"/>
  <c r="T17" i="5"/>
  <c r="T16" i="5" a="1"/>
  <c r="B71" i="31" l="1"/>
  <c r="AB24" i="5" a="1"/>
  <c r="AB26" i="5" s="1"/>
  <c r="Z31" i="5" a="1"/>
  <c r="Z31" i="5" s="1"/>
  <c r="J32" i="5"/>
  <c r="I32" i="5"/>
  <c r="M31" i="5"/>
  <c r="L31" i="5"/>
  <c r="K31" i="5"/>
  <c r="J31" i="5"/>
  <c r="Z17" i="5" a="1"/>
  <c r="Z17" i="5" s="1"/>
  <c r="T16" i="5"/>
  <c r="L32" i="5"/>
  <c r="V31" i="5"/>
  <c r="K32" i="5"/>
  <c r="U31" i="5"/>
  <c r="Z24" i="5" a="1"/>
  <c r="AB32" i="5"/>
  <c r="I31" i="5"/>
  <c r="AB10" i="5" a="1"/>
  <c r="AB17" i="5" a="1"/>
  <c r="U24" i="5" a="1"/>
  <c r="Y32" i="5"/>
  <c r="Z10" i="5" a="1"/>
  <c r="AB3" i="5" a="1"/>
  <c r="Z3" i="5" a="1"/>
  <c r="U3" i="5" a="1"/>
  <c r="X32" i="5"/>
  <c r="W32" i="5"/>
  <c r="V32" i="5"/>
  <c r="Y31" i="5"/>
  <c r="N3" i="5" a="1"/>
  <c r="X31" i="5"/>
  <c r="T3" i="5" a="1"/>
  <c r="M32" i="5"/>
  <c r="W31" i="5"/>
  <c r="U10" i="5" a="1"/>
  <c r="U17" i="5" a="1"/>
  <c r="B72" i="31" l="1"/>
  <c r="AB25" i="5"/>
  <c r="AB27" i="5"/>
  <c r="AB28" i="5"/>
  <c r="AB24" i="5"/>
  <c r="Z32" i="5"/>
  <c r="Z20" i="5"/>
  <c r="Z21" i="5"/>
  <c r="Z19" i="5"/>
  <c r="Z18" i="5"/>
  <c r="U3" i="5"/>
  <c r="W4" i="5"/>
  <c r="W5" i="5"/>
  <c r="W6" i="5"/>
  <c r="W7" i="5"/>
  <c r="X4" i="5"/>
  <c r="X5" i="5"/>
  <c r="X6" i="5"/>
  <c r="X7" i="5"/>
  <c r="V3" i="5"/>
  <c r="W3" i="5"/>
  <c r="Y4" i="5"/>
  <c r="Y5" i="5"/>
  <c r="Y6" i="5"/>
  <c r="Y7" i="5"/>
  <c r="X3" i="5"/>
  <c r="Y3" i="5"/>
  <c r="U5" i="5"/>
  <c r="U7" i="5"/>
  <c r="V4" i="5"/>
  <c r="V7" i="5"/>
  <c r="U4" i="5"/>
  <c r="U6" i="5"/>
  <c r="V5" i="5"/>
  <c r="V6" i="5"/>
  <c r="Z4" i="5"/>
  <c r="Z5" i="5"/>
  <c r="Z7" i="5"/>
  <c r="Z6" i="5"/>
  <c r="Z3" i="5"/>
  <c r="Z26" i="5"/>
  <c r="Z24" i="5"/>
  <c r="Z28" i="5"/>
  <c r="Z25" i="5"/>
  <c r="Z27" i="5"/>
  <c r="Z13" i="5"/>
  <c r="Z14" i="5"/>
  <c r="Z10" i="5"/>
  <c r="Z11" i="5"/>
  <c r="Z12" i="5"/>
  <c r="AB4" i="5"/>
  <c r="AB5" i="5"/>
  <c r="AB6" i="5"/>
  <c r="AB7" i="5"/>
  <c r="AB3" i="5"/>
  <c r="Y26" i="5"/>
  <c r="W28" i="5"/>
  <c r="X28" i="5"/>
  <c r="Y28" i="5"/>
  <c r="U25" i="5"/>
  <c r="V25" i="5"/>
  <c r="V26" i="5"/>
  <c r="W25" i="5"/>
  <c r="U27" i="5"/>
  <c r="U24" i="5"/>
  <c r="X25" i="5"/>
  <c r="V27" i="5"/>
  <c r="V24" i="5"/>
  <c r="Y25" i="5"/>
  <c r="W27" i="5"/>
  <c r="W24" i="5"/>
  <c r="X27" i="5"/>
  <c r="X24" i="5"/>
  <c r="Y27" i="5"/>
  <c r="Y24" i="5"/>
  <c r="W26" i="5"/>
  <c r="U28" i="5"/>
  <c r="X26" i="5"/>
  <c r="V28" i="5"/>
  <c r="U26" i="5"/>
  <c r="U12" i="5"/>
  <c r="V12" i="5"/>
  <c r="U14" i="5"/>
  <c r="W13" i="5"/>
  <c r="W12" i="5"/>
  <c r="U10" i="5"/>
  <c r="X12" i="5"/>
  <c r="V14" i="5"/>
  <c r="Y11" i="5"/>
  <c r="U13" i="5"/>
  <c r="V10" i="5"/>
  <c r="U11" i="5"/>
  <c r="Y12" i="5"/>
  <c r="W14" i="5"/>
  <c r="Y13" i="5"/>
  <c r="W10" i="5"/>
  <c r="V11" i="5"/>
  <c r="X14" i="5"/>
  <c r="Y10" i="5"/>
  <c r="X11" i="5"/>
  <c r="X10" i="5"/>
  <c r="W11" i="5"/>
  <c r="Y14" i="5"/>
  <c r="V13" i="5"/>
  <c r="X13" i="5"/>
  <c r="AB17" i="5"/>
  <c r="AB18" i="5"/>
  <c r="AB19" i="5"/>
  <c r="AB21" i="5"/>
  <c r="AB20" i="5"/>
  <c r="R4" i="5"/>
  <c r="R6" i="5"/>
  <c r="R8" i="5"/>
  <c r="N3" i="5"/>
  <c r="N4" i="5"/>
  <c r="N5" i="5"/>
  <c r="N6" i="5"/>
  <c r="N7" i="5"/>
  <c r="N8" i="5"/>
  <c r="P4" i="5"/>
  <c r="P5" i="5"/>
  <c r="P6" i="5"/>
  <c r="P7" i="5"/>
  <c r="P8" i="5"/>
  <c r="R5" i="5"/>
  <c r="R7" i="5"/>
  <c r="O3" i="5"/>
  <c r="O4" i="5"/>
  <c r="O5" i="5"/>
  <c r="O6" i="5"/>
  <c r="O7" i="5"/>
  <c r="O8" i="5"/>
  <c r="P3" i="5"/>
  <c r="Q3" i="5"/>
  <c r="Q4" i="5"/>
  <c r="Q5" i="5"/>
  <c r="Q6" i="5"/>
  <c r="Q7" i="5"/>
  <c r="Q8" i="5"/>
  <c r="R3" i="5"/>
  <c r="S3" i="5"/>
  <c r="S4" i="5"/>
  <c r="S5" i="5"/>
  <c r="S6" i="5"/>
  <c r="S7" i="5"/>
  <c r="S8" i="5"/>
  <c r="AB13" i="5"/>
  <c r="AB10" i="5"/>
  <c r="AB11" i="5"/>
  <c r="AB12" i="5"/>
  <c r="AB14" i="5"/>
  <c r="U17" i="5"/>
  <c r="V17" i="5"/>
  <c r="W17" i="5"/>
  <c r="X17" i="5"/>
  <c r="Y17" i="5"/>
  <c r="U18" i="5"/>
  <c r="X18" i="5"/>
  <c r="V18" i="5"/>
  <c r="W18" i="5"/>
  <c r="Y18" i="5"/>
  <c r="U19" i="5"/>
  <c r="V19" i="5"/>
  <c r="W19" i="5"/>
  <c r="X19" i="5"/>
  <c r="Y19" i="5"/>
  <c r="X21" i="5"/>
  <c r="Y21" i="5"/>
  <c r="V21" i="5"/>
  <c r="U20" i="5"/>
  <c r="V20" i="5"/>
  <c r="W20" i="5"/>
  <c r="X20" i="5"/>
  <c r="Y20" i="5"/>
  <c r="U21" i="5"/>
  <c r="W21" i="5"/>
  <c r="T3" i="5"/>
  <c r="T4" i="5"/>
  <c r="T5" i="5"/>
  <c r="T6" i="5"/>
  <c r="T7" i="5"/>
  <c r="T8" i="5"/>
  <c r="B2" i="35" l="1" a="1"/>
  <c r="B73" i="31"/>
  <c r="AC17" i="5" a="1"/>
  <c r="AA17" i="5" a="1"/>
  <c r="AC10" i="5" a="1"/>
  <c r="AA10" i="5" a="1"/>
  <c r="O15" i="5" a="1"/>
  <c r="AC24" i="5" a="1"/>
  <c r="AA24" i="5" a="1"/>
  <c r="AA3" i="5" a="1"/>
  <c r="AC3" i="5" a="1"/>
  <c r="B4" i="35" l="1"/>
  <c r="D4" i="35" s="1"/>
  <c r="B3" i="35"/>
  <c r="D3" i="35" s="1"/>
  <c r="B2" i="35"/>
  <c r="D2" i="35" s="1"/>
  <c r="B9" i="35"/>
  <c r="D9" i="35" s="1"/>
  <c r="B6" i="35"/>
  <c r="D6" i="35" s="1"/>
  <c r="B5" i="35"/>
  <c r="D5" i="35" s="1"/>
  <c r="B7" i="35"/>
  <c r="D7" i="35" s="1"/>
  <c r="B8" i="35"/>
  <c r="D8" i="35" s="1"/>
  <c r="B74" i="31"/>
  <c r="AA13" i="5"/>
  <c r="AA14" i="5"/>
  <c r="AA12" i="5"/>
  <c r="AA10" i="5"/>
  <c r="AA11" i="5"/>
  <c r="O15" i="5"/>
  <c r="O16" i="5"/>
  <c r="O17" i="5"/>
  <c r="O18" i="5"/>
  <c r="O19" i="5"/>
  <c r="O20" i="5"/>
  <c r="AC4" i="5"/>
  <c r="AC5" i="5"/>
  <c r="AC6" i="5"/>
  <c r="AC7" i="5"/>
  <c r="AC3" i="5"/>
  <c r="AA4" i="5"/>
  <c r="AA5" i="5"/>
  <c r="AA6" i="5"/>
  <c r="AA7" i="5"/>
  <c r="AA3" i="5"/>
  <c r="AA26" i="5"/>
  <c r="AA28" i="5"/>
  <c r="AA25" i="5"/>
  <c r="AA27" i="5"/>
  <c r="AA24" i="5"/>
  <c r="AC24" i="5"/>
  <c r="AC27" i="5"/>
  <c r="AC26" i="5"/>
  <c r="AC28" i="5"/>
  <c r="AC25" i="5"/>
  <c r="AC10" i="5"/>
  <c r="AC13" i="5"/>
  <c r="AC12" i="5"/>
  <c r="AC11" i="5"/>
  <c r="AC14" i="5"/>
  <c r="AA17" i="5"/>
  <c r="AA18" i="5"/>
  <c r="AA19" i="5"/>
  <c r="AA21" i="5"/>
  <c r="AA20" i="5"/>
  <c r="AC17" i="5"/>
  <c r="AC18" i="5"/>
  <c r="AC19" i="5"/>
  <c r="AC21" i="5"/>
  <c r="AC20" i="5"/>
  <c r="G7" i="35" l="1"/>
  <c r="F7" i="35" s="1"/>
  <c r="E7" i="35"/>
  <c r="AH3" i="5" a="1"/>
  <c r="AH14" i="5" s="1"/>
  <c r="G9" i="35"/>
  <c r="F9" i="35" s="1"/>
  <c r="E9" i="35"/>
  <c r="E8" i="35"/>
  <c r="G8" i="35"/>
  <c r="F8" i="35" s="1"/>
  <c r="G5" i="35"/>
  <c r="F5" i="35" s="1"/>
  <c r="E5" i="35"/>
  <c r="E6" i="35"/>
  <c r="G6" i="35"/>
  <c r="F6" i="35" s="1"/>
  <c r="E2" i="35"/>
  <c r="G2" i="35"/>
  <c r="F2" i="35" s="1"/>
  <c r="G3" i="35"/>
  <c r="F3" i="35" s="1"/>
  <c r="E3" i="35"/>
  <c r="E4" i="35"/>
  <c r="G4" i="35"/>
  <c r="F4" i="35" s="1"/>
  <c r="AJ3" i="5" a="1"/>
  <c r="AJ5" i="5" s="1"/>
  <c r="B75" i="31"/>
  <c r="AK3" i="5" a="1"/>
  <c r="AK15" i="5" s="1"/>
  <c r="AM3" i="5" a="1"/>
  <c r="AM4" i="5" s="1"/>
  <c r="AL3" i="5" a="1"/>
  <c r="AL14" i="5" s="1"/>
  <c r="AE3" i="5" a="1"/>
  <c r="AE16" i="5" s="1"/>
  <c r="AG3" i="5" a="1"/>
  <c r="AG10" i="5" s="1"/>
  <c r="AF3" i="5" a="1"/>
  <c r="AF12" i="5" s="1"/>
  <c r="AJ10" i="5"/>
  <c r="AJ13" i="5"/>
  <c r="AJ3" i="5"/>
  <c r="AJ25" i="5"/>
  <c r="AJ29" i="5"/>
  <c r="AJ24" i="5"/>
  <c r="AH11" i="5"/>
  <c r="AH13" i="5"/>
  <c r="AH7" i="5"/>
  <c r="AH15" i="5"/>
  <c r="AH16" i="5"/>
  <c r="AH17" i="5"/>
  <c r="AH24" i="5"/>
  <c r="AH23" i="5"/>
  <c r="AH25" i="5"/>
  <c r="C3" i="5" a="1"/>
  <c r="U33" i="5"/>
  <c r="V33" i="5"/>
  <c r="W33" i="5"/>
  <c r="X33" i="5"/>
  <c r="Y33" i="5"/>
  <c r="Z33" i="5"/>
  <c r="AB33" i="5"/>
  <c r="U34" i="5"/>
  <c r="V34" i="5"/>
  <c r="W34" i="5"/>
  <c r="X34" i="5"/>
  <c r="Y34" i="5"/>
  <c r="Z34" i="5"/>
  <c r="AB34" i="5"/>
  <c r="U35" i="5"/>
  <c r="V35" i="5"/>
  <c r="W35" i="5"/>
  <c r="X35" i="5"/>
  <c r="Y35" i="5"/>
  <c r="Z35" i="5"/>
  <c r="AB35" i="5"/>
  <c r="AE35" i="5"/>
  <c r="AF35" i="5"/>
  <c r="AG35" i="5"/>
  <c r="AH35" i="5"/>
  <c r="AI35" i="5"/>
  <c r="AH22" i="5" l="1"/>
  <c r="AH10" i="5"/>
  <c r="AH21" i="5"/>
  <c r="AH3" i="5"/>
  <c r="AJ20" i="5"/>
  <c r="AJ11" i="5"/>
  <c r="AH29" i="5"/>
  <c r="AH20" i="5"/>
  <c r="AH5" i="5"/>
  <c r="AH8" i="5"/>
  <c r="AJ19" i="5"/>
  <c r="AJ12" i="5"/>
  <c r="AH26" i="5"/>
  <c r="AH18" i="5"/>
  <c r="AH12" i="5"/>
  <c r="AJ30" i="5"/>
  <c r="AJ4" i="5"/>
  <c r="AH30" i="5"/>
  <c r="AH27" i="5"/>
  <c r="AH6" i="5"/>
  <c r="AH9" i="5"/>
  <c r="AJ28" i="5"/>
  <c r="AJ9" i="5"/>
  <c r="AH28" i="5"/>
  <c r="AH19" i="5"/>
  <c r="AH4" i="5"/>
  <c r="AJ17" i="5"/>
  <c r="AJ21" i="5"/>
  <c r="AJ18" i="5"/>
  <c r="AJ8" i="5"/>
  <c r="AJ27" i="5"/>
  <c r="AJ16" i="5"/>
  <c r="AJ14" i="5"/>
  <c r="AJ15" i="5"/>
  <c r="AJ26" i="5"/>
  <c r="AJ7" i="5"/>
  <c r="AJ23" i="5"/>
  <c r="AJ6" i="5"/>
  <c r="AJ22" i="5"/>
  <c r="B76" i="31"/>
  <c r="AK29" i="5"/>
  <c r="AK27" i="5"/>
  <c r="AL12" i="5"/>
  <c r="AK18" i="5"/>
  <c r="AK25" i="5"/>
  <c r="AK17" i="5"/>
  <c r="AK7" i="5"/>
  <c r="AK30" i="5"/>
  <c r="AK3" i="5"/>
  <c r="AK11" i="5"/>
  <c r="AK16" i="5"/>
  <c r="AK6" i="5"/>
  <c r="AK5" i="5"/>
  <c r="AK4" i="5"/>
  <c r="AK28" i="5"/>
  <c r="AK21" i="5"/>
  <c r="AK10" i="5"/>
  <c r="AK23" i="5"/>
  <c r="AL19" i="5"/>
  <c r="AK24" i="5"/>
  <c r="AL18" i="5"/>
  <c r="AK26" i="5"/>
  <c r="AK9" i="5"/>
  <c r="AK13" i="5"/>
  <c r="AL17" i="5"/>
  <c r="AK22" i="5"/>
  <c r="AK8" i="5"/>
  <c r="AM9" i="5"/>
  <c r="AK20" i="5"/>
  <c r="AK14" i="5"/>
  <c r="AK19" i="5"/>
  <c r="AK12" i="5"/>
  <c r="AM24" i="5"/>
  <c r="AM10" i="5"/>
  <c r="AM28" i="5"/>
  <c r="AM27" i="5"/>
  <c r="AM23" i="5"/>
  <c r="AM11" i="5"/>
  <c r="AM6" i="5"/>
  <c r="AM25" i="5"/>
  <c r="AM14" i="5"/>
  <c r="AL5" i="5"/>
  <c r="AM21" i="5"/>
  <c r="AM3" i="5"/>
  <c r="AM8" i="5"/>
  <c r="AL6" i="5"/>
  <c r="AM20" i="5"/>
  <c r="AL29" i="5"/>
  <c r="AL28" i="5"/>
  <c r="AL3" i="5"/>
  <c r="AM26" i="5"/>
  <c r="AM5" i="5"/>
  <c r="AL16" i="5"/>
  <c r="AL15" i="5"/>
  <c r="AF7" i="5"/>
  <c r="AL24" i="5"/>
  <c r="AL7" i="5"/>
  <c r="AM19" i="5"/>
  <c r="AM12" i="5"/>
  <c r="AE27" i="5"/>
  <c r="AL4" i="5"/>
  <c r="AM18" i="5"/>
  <c r="AL22" i="5"/>
  <c r="AL10" i="5"/>
  <c r="AM17" i="5"/>
  <c r="AL30" i="5"/>
  <c r="AE17" i="5"/>
  <c r="AL26" i="5"/>
  <c r="AL13" i="5"/>
  <c r="AM16" i="5"/>
  <c r="AL11" i="5"/>
  <c r="AM15" i="5"/>
  <c r="AL23" i="5"/>
  <c r="AE30" i="5"/>
  <c r="AE15" i="5"/>
  <c r="AL27" i="5"/>
  <c r="AE11" i="5"/>
  <c r="AL21" i="5"/>
  <c r="AL9" i="5"/>
  <c r="AM22" i="5"/>
  <c r="AM13" i="5"/>
  <c r="AE14" i="5"/>
  <c r="AL25" i="5"/>
  <c r="AL8" i="5"/>
  <c r="AM30" i="5"/>
  <c r="AM7" i="5"/>
  <c r="AG8" i="5"/>
  <c r="AE12" i="5"/>
  <c r="AL20" i="5"/>
  <c r="AM29" i="5"/>
  <c r="AG20" i="5"/>
  <c r="AG30" i="5"/>
  <c r="AG9" i="5"/>
  <c r="AE29" i="5"/>
  <c r="AE7" i="5"/>
  <c r="AE25" i="5"/>
  <c r="AE6" i="5"/>
  <c r="AE4" i="5"/>
  <c r="AE23" i="5"/>
  <c r="AE8" i="5"/>
  <c r="AE5" i="5"/>
  <c r="AE26" i="5"/>
  <c r="AF25" i="5"/>
  <c r="AE22" i="5"/>
  <c r="AE13" i="5"/>
  <c r="AE20" i="5"/>
  <c r="AF30" i="5"/>
  <c r="AE21" i="5"/>
  <c r="AE10" i="5"/>
  <c r="AF29" i="5"/>
  <c r="AE24" i="5"/>
  <c r="AE9" i="5"/>
  <c r="AE28" i="5"/>
  <c r="AF28" i="5"/>
  <c r="AE19" i="5"/>
  <c r="AE3" i="5"/>
  <c r="AF8" i="5"/>
  <c r="AE18" i="5"/>
  <c r="AF6" i="5"/>
  <c r="AF5" i="5"/>
  <c r="AG24" i="5"/>
  <c r="AG18" i="5"/>
  <c r="AG17" i="5"/>
  <c r="AG23" i="5"/>
  <c r="AG16" i="5"/>
  <c r="AG15" i="5"/>
  <c r="AG27" i="5"/>
  <c r="AG19" i="5"/>
  <c r="AG14" i="5"/>
  <c r="AG7" i="5"/>
  <c r="AG13" i="5"/>
  <c r="AG3" i="5"/>
  <c r="AG22" i="5"/>
  <c r="AG25" i="5"/>
  <c r="AG11" i="5"/>
  <c r="AG6" i="5"/>
  <c r="AG29" i="5"/>
  <c r="AG5" i="5"/>
  <c r="AG28" i="5"/>
  <c r="AG4" i="5"/>
  <c r="AG26" i="5"/>
  <c r="AG12" i="5"/>
  <c r="AG21" i="5"/>
  <c r="AF26" i="5"/>
  <c r="AF23" i="5"/>
  <c r="AF14" i="5"/>
  <c r="AF13" i="5"/>
  <c r="AF24" i="5"/>
  <c r="AF9" i="5"/>
  <c r="AF20" i="5"/>
  <c r="AF11" i="5"/>
  <c r="AF22" i="5"/>
  <c r="AF19" i="5"/>
  <c r="AF3" i="5"/>
  <c r="AF21" i="5"/>
  <c r="AF10" i="5"/>
  <c r="AF18" i="5"/>
  <c r="AF17" i="5"/>
  <c r="AF4" i="5"/>
  <c r="AF16" i="5"/>
  <c r="AF15" i="5"/>
  <c r="AF27" i="5"/>
  <c r="AA31" i="5" a="1"/>
  <c r="AC31" i="5" a="1"/>
  <c r="AH36" i="5" a="1"/>
  <c r="C3" i="5"/>
  <c r="C4" i="5"/>
  <c r="C5" i="5"/>
  <c r="C6" i="5"/>
  <c r="C7" i="5"/>
  <c r="C8" i="5"/>
  <c r="C14" i="5"/>
  <c r="C13" i="5"/>
  <c r="C12" i="5"/>
  <c r="C15" i="5"/>
  <c r="C9" i="5"/>
  <c r="C10" i="5"/>
  <c r="C11" i="5"/>
  <c r="C16" i="5"/>
  <c r="C17" i="5"/>
  <c r="C18" i="5"/>
  <c r="C19" i="5"/>
  <c r="C20" i="5"/>
  <c r="C22" i="5"/>
  <c r="C23" i="5"/>
  <c r="C24" i="5"/>
  <c r="C29" i="5"/>
  <c r="C30" i="5"/>
  <c r="C21" i="5"/>
  <c r="C26" i="5"/>
  <c r="C28" i="5"/>
  <c r="C25" i="5"/>
  <c r="C27" i="5"/>
  <c r="M55" i="4"/>
  <c r="L3" i="4"/>
  <c r="L4" i="4"/>
  <c r="L5" i="4"/>
  <c r="L6" i="4"/>
  <c r="L7" i="4"/>
  <c r="L8" i="4"/>
  <c r="L9" i="4"/>
  <c r="L10" i="4"/>
  <c r="O10" i="4"/>
  <c r="L11" i="4"/>
  <c r="O11" i="4"/>
  <c r="T12" i="4" s="1"/>
  <c r="L12" i="4"/>
  <c r="O12" i="4"/>
  <c r="L13" i="4"/>
  <c r="L14" i="4"/>
  <c r="L15" i="4"/>
  <c r="L16" i="4"/>
  <c r="N16" i="4"/>
  <c r="L17" i="4"/>
  <c r="N17" i="4"/>
  <c r="L18" i="4"/>
  <c r="N18" i="4"/>
  <c r="L19" i="4"/>
  <c r="N19" i="4"/>
  <c r="L20" i="4"/>
  <c r="N20" i="4"/>
  <c r="L21" i="4"/>
  <c r="L22" i="4"/>
  <c r="L23" i="4"/>
  <c r="L24" i="4"/>
  <c r="L25" i="4"/>
  <c r="L26" i="4"/>
  <c r="L27" i="4"/>
  <c r="L28" i="4"/>
  <c r="L29" i="4"/>
  <c r="L30" i="4"/>
  <c r="B31" i="4"/>
  <c r="N12" i="4" s="1"/>
  <c r="D31" i="4"/>
  <c r="G31" i="4"/>
  <c r="H31" i="4"/>
  <c r="I31" i="4"/>
  <c r="J31" i="4"/>
  <c r="K31" i="4"/>
  <c r="B32" i="4"/>
  <c r="D32" i="4"/>
  <c r="G32" i="4"/>
  <c r="H32" i="4"/>
  <c r="I32" i="4"/>
  <c r="J32" i="4"/>
  <c r="K32" i="4"/>
  <c r="B33" i="5" a="1"/>
  <c r="D33" i="5" a="1"/>
  <c r="C33" i="5" a="1"/>
  <c r="E33" i="5" a="1"/>
  <c r="AH33" i="5" l="1"/>
  <c r="E37" i="5" s="1"/>
  <c r="E40" i="5" s="1"/>
  <c r="AH34" i="5"/>
  <c r="E38" i="5" s="1"/>
  <c r="AH36" i="5"/>
  <c r="AJ31" i="5"/>
  <c r="AH31" i="5"/>
  <c r="AH32" i="5"/>
  <c r="AJ32" i="5"/>
  <c r="AJ34" i="5"/>
  <c r="AJ33" i="5"/>
  <c r="B77" i="31"/>
  <c r="AK33" i="5"/>
  <c r="AK34" i="5"/>
  <c r="AK31" i="5"/>
  <c r="AK32" i="5"/>
  <c r="AL34" i="5"/>
  <c r="AE36" i="5" a="1"/>
  <c r="AE36" i="5" s="1"/>
  <c r="AE34" i="5"/>
  <c r="B38" i="5" s="1"/>
  <c r="AL32" i="5"/>
  <c r="AM32" i="5"/>
  <c r="E34" i="5"/>
  <c r="E33" i="5"/>
  <c r="AM34" i="5"/>
  <c r="AE31" i="5"/>
  <c r="AL33" i="5"/>
  <c r="AE32" i="5"/>
  <c r="AM31" i="5"/>
  <c r="AL31" i="5"/>
  <c r="AM33" i="5"/>
  <c r="B33" i="5"/>
  <c r="B34" i="5"/>
  <c r="AG31" i="5"/>
  <c r="AG32" i="5"/>
  <c r="AE33" i="5"/>
  <c r="B37" i="5" s="1"/>
  <c r="B40" i="5" s="1"/>
  <c r="AG34" i="5"/>
  <c r="D38" i="5" s="1"/>
  <c r="AG33" i="5"/>
  <c r="D37" i="5" s="1"/>
  <c r="D40" i="5" s="1"/>
  <c r="AG36" i="5" a="1"/>
  <c r="AG36" i="5" s="1"/>
  <c r="D33" i="5"/>
  <c r="D34" i="5"/>
  <c r="AF31" i="5"/>
  <c r="AF33" i="5"/>
  <c r="C37" i="5" s="1"/>
  <c r="C40" i="5" s="1"/>
  <c r="AF34" i="5"/>
  <c r="C38" i="5" s="1"/>
  <c r="C33" i="5"/>
  <c r="C34" i="5"/>
  <c r="AF32" i="5"/>
  <c r="AF36" i="5" a="1"/>
  <c r="AF36" i="5" s="1"/>
  <c r="E39" i="5"/>
  <c r="E41" i="5" s="1"/>
  <c r="E42" i="5" s="1"/>
  <c r="E43" i="5" s="1"/>
  <c r="E44" i="5" s="1"/>
  <c r="E45" i="5" s="1"/>
  <c r="E46" i="5" s="1"/>
  <c r="E47" i="5" s="1"/>
  <c r="E48" i="5" s="1"/>
  <c r="E49" i="5" s="1"/>
  <c r="E50" i="5" s="1"/>
  <c r="E51" i="5" s="1"/>
  <c r="E52" i="5" s="1"/>
  <c r="E53" i="5" s="1"/>
  <c r="E54" i="5" s="1"/>
  <c r="E55" i="5" s="1"/>
  <c r="E56" i="5" s="1"/>
  <c r="E57" i="5" s="1"/>
  <c r="E58" i="5" s="1"/>
  <c r="E59" i="5" s="1"/>
  <c r="E60" i="5" s="1"/>
  <c r="AC32" i="5"/>
  <c r="AC31" i="5"/>
  <c r="AC33" i="5"/>
  <c r="AC34" i="5"/>
  <c r="AC35" i="5"/>
  <c r="AA31" i="5"/>
  <c r="AA32" i="5"/>
  <c r="AA34" i="5"/>
  <c r="AA35" i="5"/>
  <c r="AA33" i="5"/>
  <c r="O11" i="5"/>
  <c r="Q11" i="5" s="1"/>
  <c r="S11" i="5" s="1"/>
  <c r="P15" i="5" s="1" a="1"/>
  <c r="O10" i="5"/>
  <c r="C31" i="5"/>
  <c r="C32" i="5"/>
  <c r="S3" i="4" a="1"/>
  <c r="S4" i="4" s="1"/>
  <c r="M3" i="4" a="1"/>
  <c r="O8" i="4" s="1"/>
  <c r="L31" i="4"/>
  <c r="L32" i="4"/>
  <c r="B78" i="31" l="1"/>
  <c r="J40" i="5"/>
  <c r="C39" i="5"/>
  <c r="C41" i="5" s="1"/>
  <c r="C42" i="5" s="1"/>
  <c r="C43" i="5" s="1"/>
  <c r="C44" i="5" s="1"/>
  <c r="R44" i="5" s="1"/>
  <c r="I40" i="5"/>
  <c r="D39" i="5"/>
  <c r="D41" i="5" s="1"/>
  <c r="G40" i="5"/>
  <c r="B39" i="5"/>
  <c r="B41" i="5" s="1"/>
  <c r="L41" i="5" s="1"/>
  <c r="J38" i="5"/>
  <c r="J60" i="5"/>
  <c r="J37" i="5"/>
  <c r="I37" i="5"/>
  <c r="G38" i="5"/>
  <c r="H38" i="5"/>
  <c r="G37" i="5"/>
  <c r="I38" i="5"/>
  <c r="H40" i="5"/>
  <c r="H37" i="5"/>
  <c r="J48" i="5"/>
  <c r="J44" i="5"/>
  <c r="J56" i="5"/>
  <c r="J47" i="5"/>
  <c r="J45" i="5"/>
  <c r="J53" i="5"/>
  <c r="J43" i="5"/>
  <c r="J49" i="5"/>
  <c r="J52" i="5"/>
  <c r="J54" i="5"/>
  <c r="J58" i="5"/>
  <c r="J50" i="5"/>
  <c r="J42" i="5"/>
  <c r="J46" i="5"/>
  <c r="J57" i="5"/>
  <c r="J59" i="5"/>
  <c r="J55" i="5"/>
  <c r="J41" i="5"/>
  <c r="J51" i="5"/>
  <c r="AN3" i="5" a="1"/>
  <c r="AN14" i="5" s="1"/>
  <c r="P15" i="5"/>
  <c r="Q15" i="5" s="1"/>
  <c r="P16" i="5"/>
  <c r="Q16" i="5" s="1"/>
  <c r="P17" i="5"/>
  <c r="Q17" i="5" s="1"/>
  <c r="P18" i="5"/>
  <c r="Q18" i="5" s="1"/>
  <c r="P19" i="5"/>
  <c r="Q19" i="5" s="1"/>
  <c r="P20" i="5"/>
  <c r="Q20" i="5" s="1"/>
  <c r="N40" i="5"/>
  <c r="T42" i="5"/>
  <c r="O40" i="5"/>
  <c r="O44" i="5"/>
  <c r="O48" i="5"/>
  <c r="O52" i="5"/>
  <c r="O56" i="5"/>
  <c r="O60" i="5"/>
  <c r="L40" i="5"/>
  <c r="T54" i="5"/>
  <c r="T43" i="5"/>
  <c r="T47" i="5"/>
  <c r="T51" i="5"/>
  <c r="T55" i="5"/>
  <c r="T59" i="5"/>
  <c r="Q40" i="5"/>
  <c r="R40" i="5"/>
  <c r="S40" i="5"/>
  <c r="O41" i="5"/>
  <c r="O45" i="5"/>
  <c r="O49" i="5"/>
  <c r="O53" i="5"/>
  <c r="O57" i="5"/>
  <c r="T40" i="5"/>
  <c r="T44" i="5"/>
  <c r="T48" i="5"/>
  <c r="T52" i="5"/>
  <c r="T56" i="5"/>
  <c r="T60" i="5"/>
  <c r="O42" i="5"/>
  <c r="O46" i="5"/>
  <c r="O50" i="5"/>
  <c r="O54" i="5"/>
  <c r="O58" i="5"/>
  <c r="T46" i="5"/>
  <c r="T58" i="5"/>
  <c r="T41" i="5"/>
  <c r="T45" i="5"/>
  <c r="T49" i="5"/>
  <c r="T53" i="5"/>
  <c r="T57" i="5"/>
  <c r="T50" i="5"/>
  <c r="O43" i="5"/>
  <c r="O47" i="5"/>
  <c r="O51" i="5"/>
  <c r="O55" i="5"/>
  <c r="O59" i="5"/>
  <c r="M40" i="5"/>
  <c r="Q10" i="5"/>
  <c r="R10" i="5" s="1"/>
  <c r="S10" i="5" s="1"/>
  <c r="S12" i="5"/>
  <c r="AI3" i="5" a="1"/>
  <c r="S7" i="4"/>
  <c r="S8" i="4"/>
  <c r="S3" i="4"/>
  <c r="S5" i="4"/>
  <c r="S6" i="4"/>
  <c r="O3" i="4"/>
  <c r="N8" i="4"/>
  <c r="R4" i="4"/>
  <c r="R5" i="4"/>
  <c r="N3" i="4"/>
  <c r="M4" i="4"/>
  <c r="N4" i="4"/>
  <c r="O7" i="4"/>
  <c r="M5" i="4"/>
  <c r="M8" i="4"/>
  <c r="R8" i="4"/>
  <c r="Q5" i="4"/>
  <c r="P6" i="4"/>
  <c r="N7" i="4"/>
  <c r="P5" i="4"/>
  <c r="O6" i="4"/>
  <c r="Q4" i="4"/>
  <c r="O5" i="4"/>
  <c r="R3" i="4"/>
  <c r="M3" i="4"/>
  <c r="R6" i="4"/>
  <c r="R7" i="4"/>
  <c r="Q8" i="4"/>
  <c r="N5" i="4"/>
  <c r="N6" i="4"/>
  <c r="M7" i="4"/>
  <c r="Q3" i="4"/>
  <c r="P4" i="4"/>
  <c r="Q7" i="4"/>
  <c r="Q6" i="4"/>
  <c r="M6" i="4"/>
  <c r="P8" i="4"/>
  <c r="P3" i="4"/>
  <c r="O4" i="4"/>
  <c r="P7" i="4"/>
  <c r="B79" i="31" l="1"/>
  <c r="H41" i="5"/>
  <c r="M41" i="5"/>
  <c r="R42" i="5"/>
  <c r="M42" i="5"/>
  <c r="R41" i="5"/>
  <c r="N63" i="5"/>
  <c r="L63" i="5"/>
  <c r="J63" i="5"/>
  <c r="O63" i="5"/>
  <c r="O79" i="5"/>
  <c r="Q41" i="5"/>
  <c r="B63" i="5"/>
  <c r="T81" i="5"/>
  <c r="E79" i="5"/>
  <c r="B42" i="5"/>
  <c r="Q42" i="5" s="1"/>
  <c r="T80" i="5"/>
  <c r="H42" i="5"/>
  <c r="J68" i="5"/>
  <c r="D63" i="5"/>
  <c r="J83" i="5"/>
  <c r="D42" i="5"/>
  <c r="N42" i="5" s="1"/>
  <c r="N41" i="5"/>
  <c r="S41" i="5"/>
  <c r="O83" i="5"/>
  <c r="G41" i="5"/>
  <c r="C63" i="5"/>
  <c r="E77" i="5"/>
  <c r="M43" i="5"/>
  <c r="I41" i="5"/>
  <c r="T67" i="5"/>
  <c r="G63" i="5"/>
  <c r="J79" i="5"/>
  <c r="O70" i="5"/>
  <c r="T63" i="5"/>
  <c r="E66" i="5"/>
  <c r="S63" i="5"/>
  <c r="O67" i="5"/>
  <c r="O73" i="5"/>
  <c r="T77" i="5"/>
  <c r="T79" i="5"/>
  <c r="M44" i="5"/>
  <c r="R43" i="5"/>
  <c r="T68" i="5"/>
  <c r="T64" i="5"/>
  <c r="E70" i="5"/>
  <c r="E64" i="5"/>
  <c r="H43" i="5"/>
  <c r="O82" i="5"/>
  <c r="T69" i="5"/>
  <c r="T73" i="5"/>
  <c r="J76" i="5"/>
  <c r="E73" i="5"/>
  <c r="J64" i="5"/>
  <c r="I63" i="5"/>
  <c r="E69" i="5"/>
  <c r="J78" i="5"/>
  <c r="J80" i="5"/>
  <c r="M63" i="5"/>
  <c r="O77" i="5"/>
  <c r="J81" i="5"/>
  <c r="O78" i="5"/>
  <c r="T65" i="5"/>
  <c r="J82" i="5"/>
  <c r="J73" i="5"/>
  <c r="E80" i="5"/>
  <c r="J67" i="5"/>
  <c r="J69" i="5"/>
  <c r="J72" i="5"/>
  <c r="T82" i="5"/>
  <c r="O69" i="5"/>
  <c r="T76" i="5"/>
  <c r="J74" i="5"/>
  <c r="Q63" i="5"/>
  <c r="E76" i="5"/>
  <c r="E63" i="5"/>
  <c r="O65" i="5"/>
  <c r="T75" i="5"/>
  <c r="T71" i="5"/>
  <c r="E65" i="5"/>
  <c r="T72" i="5"/>
  <c r="O76" i="5"/>
  <c r="J75" i="5"/>
  <c r="E72" i="5"/>
  <c r="O72" i="5"/>
  <c r="O81" i="5"/>
  <c r="E71" i="5"/>
  <c r="O74" i="5"/>
  <c r="O80" i="5"/>
  <c r="O66" i="5"/>
  <c r="H63" i="5"/>
  <c r="R63" i="5"/>
  <c r="E83" i="5"/>
  <c r="E74" i="5"/>
  <c r="C45" i="5"/>
  <c r="H44" i="5"/>
  <c r="AN27" i="5"/>
  <c r="AN13" i="5"/>
  <c r="J70" i="5"/>
  <c r="AN20" i="5"/>
  <c r="AN30" i="5"/>
  <c r="AN6" i="5"/>
  <c r="AN4" i="5"/>
  <c r="AN19" i="5"/>
  <c r="AN3" i="5"/>
  <c r="E75" i="5"/>
  <c r="AN28" i="5"/>
  <c r="AN18" i="5"/>
  <c r="AN12" i="5"/>
  <c r="O64" i="5"/>
  <c r="AN17" i="5"/>
  <c r="AN7" i="5"/>
  <c r="AN5" i="5"/>
  <c r="AN16" i="5"/>
  <c r="AN15" i="5"/>
  <c r="AN25" i="5"/>
  <c r="AN26" i="5"/>
  <c r="AN11" i="5"/>
  <c r="AN23" i="5"/>
  <c r="AN10" i="5"/>
  <c r="AN22" i="5"/>
  <c r="AN9" i="5"/>
  <c r="AN29" i="5"/>
  <c r="AN21" i="5"/>
  <c r="AN8" i="5"/>
  <c r="AN24" i="5"/>
  <c r="O75" i="5"/>
  <c r="O71" i="5"/>
  <c r="E81" i="5"/>
  <c r="T74" i="5"/>
  <c r="E67" i="5"/>
  <c r="J77" i="5"/>
  <c r="E78" i="5"/>
  <c r="T78" i="5"/>
  <c r="E68" i="5"/>
  <c r="J71" i="5"/>
  <c r="J65" i="5"/>
  <c r="T83" i="5"/>
  <c r="AI14" i="5"/>
  <c r="AI12" i="5"/>
  <c r="AI8" i="5"/>
  <c r="AI9" i="5"/>
  <c r="AI11" i="5"/>
  <c r="AI5" i="5"/>
  <c r="AI6" i="5"/>
  <c r="AI3" i="5"/>
  <c r="AI10" i="5"/>
  <c r="AI4" i="5"/>
  <c r="AI7" i="5"/>
  <c r="AI13" i="5"/>
  <c r="AI15" i="5"/>
  <c r="AI16" i="5"/>
  <c r="AI17" i="5"/>
  <c r="AI18" i="5"/>
  <c r="AI19" i="5"/>
  <c r="AI20" i="5"/>
  <c r="AI25" i="5"/>
  <c r="AI27" i="5"/>
  <c r="AI24" i="5"/>
  <c r="AI29" i="5"/>
  <c r="AI21" i="5"/>
  <c r="AI22" i="5"/>
  <c r="AI23" i="5"/>
  <c r="AI26" i="5"/>
  <c r="AI28" i="5"/>
  <c r="AI30" i="5"/>
  <c r="T70" i="5"/>
  <c r="R20" i="5"/>
  <c r="S20" i="5"/>
  <c r="S19" i="5"/>
  <c r="R19" i="5"/>
  <c r="O68" i="5"/>
  <c r="E82" i="5"/>
  <c r="J66" i="5"/>
  <c r="R18" i="5"/>
  <c r="S18" i="5"/>
  <c r="R17" i="5"/>
  <c r="S17" i="5"/>
  <c r="T66" i="5"/>
  <c r="S16" i="5"/>
  <c r="R16" i="5"/>
  <c r="R15" i="5"/>
  <c r="S15" i="5"/>
  <c r="Q15" i="4" a="1"/>
  <c r="Q15" i="4" s="1"/>
  <c r="O15" i="4" a="1"/>
  <c r="O20" i="4" s="1"/>
  <c r="F33" i="5" a="1"/>
  <c r="M64" i="5" l="1"/>
  <c r="B80" i="31"/>
  <c r="R64" i="5"/>
  <c r="H64" i="5"/>
  <c r="C64" i="5"/>
  <c r="R65" i="5"/>
  <c r="C65" i="5"/>
  <c r="H65" i="5"/>
  <c r="M65" i="5"/>
  <c r="L64" i="5"/>
  <c r="G42" i="5"/>
  <c r="B43" i="5"/>
  <c r="G43" i="5" s="1"/>
  <c r="L42" i="5"/>
  <c r="B65" i="5" s="1"/>
  <c r="Q64" i="5"/>
  <c r="B64" i="5"/>
  <c r="G64" i="5"/>
  <c r="D64" i="5"/>
  <c r="S64" i="5"/>
  <c r="I64" i="5"/>
  <c r="N64" i="5"/>
  <c r="D43" i="5"/>
  <c r="I42" i="5"/>
  <c r="D65" i="5" s="1"/>
  <c r="S42" i="5"/>
  <c r="C67" i="5"/>
  <c r="R66" i="5"/>
  <c r="C66" i="5"/>
  <c r="M66" i="5"/>
  <c r="H66" i="5"/>
  <c r="M67" i="5"/>
  <c r="R67" i="5"/>
  <c r="C46" i="5"/>
  <c r="H45" i="5"/>
  <c r="R45" i="5"/>
  <c r="M45" i="5"/>
  <c r="AN32" i="5"/>
  <c r="H67" i="5"/>
  <c r="AN31" i="5"/>
  <c r="AN33" i="5"/>
  <c r="AN34" i="5"/>
  <c r="F33" i="5"/>
  <c r="F34" i="5"/>
  <c r="AI31" i="5"/>
  <c r="AI32" i="5"/>
  <c r="AI33" i="5"/>
  <c r="F37" i="5" s="1"/>
  <c r="F40" i="5" s="1"/>
  <c r="AI36" i="5" a="1"/>
  <c r="AI36" i="5" s="1"/>
  <c r="AI34" i="5"/>
  <c r="F38" i="5" s="1"/>
  <c r="L65" i="5"/>
  <c r="Q65" i="5"/>
  <c r="Q16" i="4"/>
  <c r="Q17" i="4"/>
  <c r="Q18" i="4"/>
  <c r="Q19" i="4"/>
  <c r="Q20" i="4"/>
  <c r="O15" i="4"/>
  <c r="O16" i="4"/>
  <c r="O17" i="4"/>
  <c r="O18" i="4"/>
  <c r="O19" i="4"/>
  <c r="B81" i="31" l="1"/>
  <c r="S65" i="5"/>
  <c r="G65" i="5"/>
  <c r="B44" i="5"/>
  <c r="G44" i="5" s="1"/>
  <c r="C3" i="4" a="1"/>
  <c r="C4" i="4" s="1"/>
  <c r="L43" i="5"/>
  <c r="B66" i="5" s="1"/>
  <c r="Q43" i="5"/>
  <c r="L66" i="5" s="1"/>
  <c r="R68" i="5"/>
  <c r="T13" i="4" a="1"/>
  <c r="T13" i="4" s="1"/>
  <c r="P15" i="4" s="1" a="1"/>
  <c r="P17" i="4" s="1"/>
  <c r="F39" i="5"/>
  <c r="F41" i="5" s="1"/>
  <c r="F42" i="5" s="1"/>
  <c r="F43" i="5" s="1"/>
  <c r="F44" i="5" s="1"/>
  <c r="F45" i="5" s="1"/>
  <c r="F46" i="5" s="1"/>
  <c r="F47" i="5" s="1"/>
  <c r="F48" i="5" s="1"/>
  <c r="F49" i="5" s="1"/>
  <c r="F50" i="5" s="1"/>
  <c r="F51" i="5" s="1"/>
  <c r="F52" i="5" s="1"/>
  <c r="F53" i="5" s="1"/>
  <c r="F54" i="5" s="1"/>
  <c r="F55" i="5" s="1"/>
  <c r="F56" i="5" s="1"/>
  <c r="F57" i="5" s="1"/>
  <c r="F58" i="5" s="1"/>
  <c r="F59" i="5" s="1"/>
  <c r="F60" i="5" s="1"/>
  <c r="U60" i="5" s="1"/>
  <c r="N65" i="5"/>
  <c r="D44" i="5"/>
  <c r="N43" i="5"/>
  <c r="I43" i="5"/>
  <c r="S43" i="5"/>
  <c r="I65" i="5"/>
  <c r="H68" i="5"/>
  <c r="M68" i="5"/>
  <c r="C68" i="5"/>
  <c r="C47" i="5"/>
  <c r="H46" i="5"/>
  <c r="R46" i="5"/>
  <c r="M46" i="5"/>
  <c r="U40" i="5"/>
  <c r="P40" i="5"/>
  <c r="K37" i="5"/>
  <c r="K38" i="5"/>
  <c r="K40" i="5"/>
  <c r="E3" i="4" a="1"/>
  <c r="Q44" i="5" l="1"/>
  <c r="B45" i="5"/>
  <c r="G45" i="5" s="1"/>
  <c r="L44" i="5"/>
  <c r="B67" i="5" s="1"/>
  <c r="B82" i="31"/>
  <c r="Q66" i="5"/>
  <c r="G66" i="5"/>
  <c r="C20" i="4"/>
  <c r="C17" i="4"/>
  <c r="C14" i="4"/>
  <c r="C12" i="4"/>
  <c r="C8" i="4"/>
  <c r="C27" i="4"/>
  <c r="C23" i="4"/>
  <c r="C7" i="4"/>
  <c r="C11" i="4"/>
  <c r="C28" i="4"/>
  <c r="C16" i="4"/>
  <c r="C18" i="4"/>
  <c r="C25" i="4"/>
  <c r="C21" i="4"/>
  <c r="C13" i="4"/>
  <c r="C26" i="4"/>
  <c r="C29" i="4"/>
  <c r="C9" i="4"/>
  <c r="C22" i="4"/>
  <c r="C3" i="4"/>
  <c r="C30" i="4"/>
  <c r="C5" i="4"/>
  <c r="C19" i="4"/>
  <c r="C24" i="4"/>
  <c r="C15" i="4"/>
  <c r="C10" i="4"/>
  <c r="C6" i="4"/>
  <c r="M69" i="5"/>
  <c r="P19" i="4"/>
  <c r="P20" i="4"/>
  <c r="P18" i="4"/>
  <c r="P15" i="4"/>
  <c r="P16" i="4"/>
  <c r="I66" i="5"/>
  <c r="N66" i="5"/>
  <c r="D66" i="5"/>
  <c r="S66" i="5"/>
  <c r="D45" i="5"/>
  <c r="N44" i="5"/>
  <c r="S44" i="5"/>
  <c r="I44" i="5"/>
  <c r="C48" i="5"/>
  <c r="H47" i="5"/>
  <c r="M47" i="5"/>
  <c r="R47" i="5"/>
  <c r="C69" i="5"/>
  <c r="H69" i="5"/>
  <c r="R69" i="5"/>
  <c r="K47" i="5"/>
  <c r="B46" i="5"/>
  <c r="Q45" i="5"/>
  <c r="U56" i="5"/>
  <c r="P56" i="5"/>
  <c r="K54" i="5"/>
  <c r="P55" i="5"/>
  <c r="U58" i="5"/>
  <c r="P58" i="5"/>
  <c r="K46" i="5"/>
  <c r="P53" i="5"/>
  <c r="P50" i="5"/>
  <c r="K50" i="5"/>
  <c r="K60" i="5"/>
  <c r="K42" i="5"/>
  <c r="P42" i="5"/>
  <c r="P60" i="5"/>
  <c r="P45" i="5"/>
  <c r="K56" i="5"/>
  <c r="P43" i="5"/>
  <c r="U41" i="5"/>
  <c r="U43" i="5"/>
  <c r="U48" i="5"/>
  <c r="K52" i="5"/>
  <c r="K57" i="5"/>
  <c r="P51" i="5"/>
  <c r="U46" i="5"/>
  <c r="P52" i="5"/>
  <c r="U59" i="5"/>
  <c r="K48" i="5"/>
  <c r="K53" i="5"/>
  <c r="U55" i="5"/>
  <c r="U53" i="5"/>
  <c r="U45" i="5"/>
  <c r="K44" i="5"/>
  <c r="K49" i="5"/>
  <c r="P44" i="5"/>
  <c r="U52" i="5"/>
  <c r="U44" i="5"/>
  <c r="U49" i="5"/>
  <c r="K63" i="5"/>
  <c r="P63" i="5"/>
  <c r="F63" i="5"/>
  <c r="U63" i="5"/>
  <c r="K45" i="5"/>
  <c r="P47" i="5"/>
  <c r="U42" i="5"/>
  <c r="K43" i="5"/>
  <c r="P57" i="5"/>
  <c r="P46" i="5"/>
  <c r="K41" i="5"/>
  <c r="K59" i="5"/>
  <c r="U51" i="5"/>
  <c r="P54" i="5"/>
  <c r="P59" i="5"/>
  <c r="K58" i="5"/>
  <c r="K55" i="5"/>
  <c r="U54" i="5"/>
  <c r="P49" i="5"/>
  <c r="P41" i="5"/>
  <c r="U50" i="5"/>
  <c r="K51" i="5"/>
  <c r="L67" i="5"/>
  <c r="Q67" i="5"/>
  <c r="U57" i="5"/>
  <c r="U47" i="5"/>
  <c r="P48" i="5"/>
  <c r="E7" i="4"/>
  <c r="E21" i="4"/>
  <c r="E12" i="4"/>
  <c r="E25" i="4"/>
  <c r="E27" i="4"/>
  <c r="E14" i="4"/>
  <c r="E29" i="4"/>
  <c r="E20" i="4"/>
  <c r="E17" i="4"/>
  <c r="E23" i="4"/>
  <c r="E18" i="4"/>
  <c r="E8" i="4"/>
  <c r="E16" i="4"/>
  <c r="E4" i="4"/>
  <c r="E6" i="4"/>
  <c r="E10" i="4"/>
  <c r="E15" i="4"/>
  <c r="E28" i="4"/>
  <c r="E13" i="4"/>
  <c r="E19" i="4"/>
  <c r="E24" i="4"/>
  <c r="E22" i="4"/>
  <c r="E26" i="4"/>
  <c r="E11" i="4"/>
  <c r="E30" i="4"/>
  <c r="E5" i="4"/>
  <c r="E3" i="4"/>
  <c r="E9" i="4"/>
  <c r="L45" i="5" l="1"/>
  <c r="G67" i="5"/>
  <c r="B83" i="31"/>
  <c r="F3" i="4" a="1"/>
  <c r="F8" i="4" s="1"/>
  <c r="N10" i="4"/>
  <c r="R12" i="4" s="1"/>
  <c r="C32" i="4"/>
  <c r="N11" i="4"/>
  <c r="P11" i="4" s="1"/>
  <c r="R11" i="4" s="1"/>
  <c r="R15" i="4" s="1" a="1"/>
  <c r="C31" i="4"/>
  <c r="M70" i="5"/>
  <c r="I67" i="5"/>
  <c r="S67" i="5"/>
  <c r="D67" i="5"/>
  <c r="N67" i="5"/>
  <c r="D46" i="5"/>
  <c r="I45" i="5"/>
  <c r="S45" i="5"/>
  <c r="N45" i="5"/>
  <c r="C70" i="5"/>
  <c r="H70" i="5"/>
  <c r="R70" i="5"/>
  <c r="C49" i="5"/>
  <c r="H48" i="5"/>
  <c r="R48" i="5"/>
  <c r="M48" i="5"/>
  <c r="P74" i="5"/>
  <c r="U74" i="5"/>
  <c r="F74" i="5"/>
  <c r="K74" i="5"/>
  <c r="K71" i="5"/>
  <c r="P71" i="5"/>
  <c r="U71" i="5"/>
  <c r="F71" i="5"/>
  <c r="K83" i="5"/>
  <c r="P83" i="5"/>
  <c r="F83" i="5"/>
  <c r="U83" i="5"/>
  <c r="F68" i="5"/>
  <c r="K68" i="5"/>
  <c r="P68" i="5"/>
  <c r="U68" i="5"/>
  <c r="U69" i="5"/>
  <c r="F69" i="5"/>
  <c r="K69" i="5"/>
  <c r="P69" i="5"/>
  <c r="P78" i="5"/>
  <c r="K78" i="5"/>
  <c r="U78" i="5"/>
  <c r="F78" i="5"/>
  <c r="F80" i="5"/>
  <c r="K80" i="5"/>
  <c r="P80" i="5"/>
  <c r="U80" i="5"/>
  <c r="U81" i="5"/>
  <c r="F81" i="5"/>
  <c r="K81" i="5"/>
  <c r="P81" i="5"/>
  <c r="K75" i="5"/>
  <c r="F75" i="5"/>
  <c r="P75" i="5"/>
  <c r="U75" i="5"/>
  <c r="U73" i="5"/>
  <c r="F73" i="5"/>
  <c r="K73" i="5"/>
  <c r="P73" i="5"/>
  <c r="U77" i="5"/>
  <c r="F77" i="5"/>
  <c r="K77" i="5"/>
  <c r="P77" i="5"/>
  <c r="P82" i="5"/>
  <c r="U82" i="5"/>
  <c r="F82" i="5"/>
  <c r="K82" i="5"/>
  <c r="F72" i="5"/>
  <c r="K72" i="5"/>
  <c r="P72" i="5"/>
  <c r="U72" i="5"/>
  <c r="F64" i="5"/>
  <c r="K64" i="5"/>
  <c r="P64" i="5"/>
  <c r="U64" i="5"/>
  <c r="K67" i="5"/>
  <c r="P67" i="5"/>
  <c r="F67" i="5"/>
  <c r="U67" i="5"/>
  <c r="K79" i="5"/>
  <c r="P79" i="5"/>
  <c r="F79" i="5"/>
  <c r="U79" i="5"/>
  <c r="G68" i="5"/>
  <c r="L68" i="5"/>
  <c r="B68" i="5"/>
  <c r="Q68" i="5"/>
  <c r="P66" i="5"/>
  <c r="U66" i="5"/>
  <c r="F66" i="5"/>
  <c r="K66" i="5"/>
  <c r="B47" i="5"/>
  <c r="G46" i="5"/>
  <c r="Q46" i="5"/>
  <c r="L46" i="5"/>
  <c r="F76" i="5"/>
  <c r="K76" i="5"/>
  <c r="P76" i="5"/>
  <c r="U76" i="5"/>
  <c r="U65" i="5"/>
  <c r="F65" i="5"/>
  <c r="P65" i="5"/>
  <c r="K65" i="5"/>
  <c r="P70" i="5"/>
  <c r="U70" i="5"/>
  <c r="F70" i="5"/>
  <c r="K70" i="5"/>
  <c r="E32" i="4"/>
  <c r="E31" i="4"/>
  <c r="C55" i="4"/>
  <c r="C35" i="4"/>
  <c r="P10" i="4"/>
  <c r="E35" i="4" l="1" a="1"/>
  <c r="E35" i="4" s="1"/>
  <c r="B84" i="31"/>
  <c r="Q10" i="4"/>
  <c r="R10" i="4" s="1"/>
  <c r="F11" i="4"/>
  <c r="F28" i="4"/>
  <c r="F20" i="4"/>
  <c r="F9" i="4"/>
  <c r="F6" i="4"/>
  <c r="F15" i="4"/>
  <c r="F24" i="4"/>
  <c r="F13" i="4"/>
  <c r="F5" i="4"/>
  <c r="F18" i="4"/>
  <c r="F7" i="4"/>
  <c r="F25" i="4"/>
  <c r="F12" i="4"/>
  <c r="F19" i="4"/>
  <c r="F29" i="4"/>
  <c r="F22" i="4"/>
  <c r="F4" i="4"/>
  <c r="F30" i="4"/>
  <c r="F10" i="4"/>
  <c r="F14" i="4"/>
  <c r="F26" i="4"/>
  <c r="F17" i="4"/>
  <c r="F3" i="4"/>
  <c r="F27" i="4"/>
  <c r="F23" i="4"/>
  <c r="F21" i="4"/>
  <c r="F16" i="4"/>
  <c r="R17" i="4"/>
  <c r="S17" i="4" s="1"/>
  <c r="R19" i="4"/>
  <c r="S19" i="4" s="1"/>
  <c r="R16" i="4"/>
  <c r="S16" i="4" s="1"/>
  <c r="R15" i="4"/>
  <c r="S15" i="4" s="1"/>
  <c r="R18" i="4"/>
  <c r="S18" i="4" s="1"/>
  <c r="R20" i="4"/>
  <c r="S20" i="4" s="1"/>
  <c r="N68" i="5"/>
  <c r="I68" i="5"/>
  <c r="S68" i="5"/>
  <c r="D68" i="5"/>
  <c r="D47" i="5"/>
  <c r="S46" i="5"/>
  <c r="I46" i="5"/>
  <c r="N46" i="5"/>
  <c r="H71" i="5"/>
  <c r="M71" i="5"/>
  <c r="R71" i="5"/>
  <c r="C71" i="5"/>
  <c r="C50" i="5"/>
  <c r="R49" i="5"/>
  <c r="M49" i="5"/>
  <c r="H49" i="5"/>
  <c r="B69" i="5"/>
  <c r="G69" i="5"/>
  <c r="L69" i="5"/>
  <c r="Q69" i="5"/>
  <c r="B48" i="5"/>
  <c r="G47" i="5"/>
  <c r="L47" i="5"/>
  <c r="Q47" i="5"/>
  <c r="L35" i="4"/>
  <c r="C36" i="4" s="1"/>
  <c r="E55" i="4" a="1"/>
  <c r="E55" i="4" s="1"/>
  <c r="F55" i="4" a="1"/>
  <c r="F55" i="4" s="1"/>
  <c r="F35" i="4" a="1"/>
  <c r="F35" i="4" s="1"/>
  <c r="B85" i="31" l="1"/>
  <c r="K37" i="4" a="1"/>
  <c r="K38" i="4" s="1"/>
  <c r="F32" i="4"/>
  <c r="F31" i="4"/>
  <c r="L37" i="4"/>
  <c r="L38" i="4"/>
  <c r="S69" i="5"/>
  <c r="I69" i="5"/>
  <c r="N69" i="5"/>
  <c r="D69" i="5"/>
  <c r="D48" i="5"/>
  <c r="N47" i="5"/>
  <c r="I47" i="5"/>
  <c r="S47" i="5"/>
  <c r="R72" i="5"/>
  <c r="C72" i="5"/>
  <c r="M72" i="5"/>
  <c r="H72" i="5"/>
  <c r="C51" i="5"/>
  <c r="H50" i="5"/>
  <c r="R50" i="5"/>
  <c r="M50" i="5"/>
  <c r="Q70" i="5"/>
  <c r="L70" i="5"/>
  <c r="B70" i="5"/>
  <c r="G70" i="5"/>
  <c r="B49" i="5"/>
  <c r="G48" i="5"/>
  <c r="Q48" i="5"/>
  <c r="L48" i="5"/>
  <c r="F36" i="4" a="1"/>
  <c r="F36" i="4" s="1"/>
  <c r="E36" i="4" a="1"/>
  <c r="E36" i="4" s="1"/>
  <c r="C37" i="4"/>
  <c r="T16" i="4"/>
  <c r="M49" i="4" s="1"/>
  <c r="U16" i="4"/>
  <c r="U17" i="4"/>
  <c r="T17" i="4"/>
  <c r="M50" i="4" s="1"/>
  <c r="T18" i="4"/>
  <c r="M51" i="4" s="1"/>
  <c r="U18" i="4"/>
  <c r="T19" i="4"/>
  <c r="M52" i="4" s="1"/>
  <c r="U19" i="4"/>
  <c r="T20" i="4"/>
  <c r="M53" i="4" s="1"/>
  <c r="U20" i="4"/>
  <c r="T15" i="4"/>
  <c r="M48" i="4" s="1"/>
  <c r="U15" i="4"/>
  <c r="B86" i="31" l="1"/>
  <c r="K37" i="4"/>
  <c r="S70" i="5"/>
  <c r="R73" i="5"/>
  <c r="I70" i="5"/>
  <c r="N70" i="5"/>
  <c r="D70" i="5"/>
  <c r="D49" i="5"/>
  <c r="N48" i="5"/>
  <c r="S48" i="5"/>
  <c r="I48" i="5"/>
  <c r="C73" i="5"/>
  <c r="H73" i="5"/>
  <c r="M73" i="5"/>
  <c r="C52" i="5"/>
  <c r="H51" i="5"/>
  <c r="M51" i="5"/>
  <c r="R51" i="5"/>
  <c r="L71" i="5"/>
  <c r="G71" i="5"/>
  <c r="Q71" i="5"/>
  <c r="B71" i="5"/>
  <c r="B50" i="5"/>
  <c r="G49" i="5"/>
  <c r="L49" i="5"/>
  <c r="Q49" i="5"/>
  <c r="M47" i="4"/>
  <c r="M54" i="4" s="1"/>
  <c r="C38" i="4"/>
  <c r="E37" i="4" a="1"/>
  <c r="E37" i="4" s="1"/>
  <c r="F37" i="4" a="1"/>
  <c r="F37" i="4" s="1"/>
  <c r="B87" i="31" l="1"/>
  <c r="D50" i="5"/>
  <c r="S49" i="5"/>
  <c r="I49" i="5"/>
  <c r="N49" i="5"/>
  <c r="N71" i="5"/>
  <c r="S71" i="5"/>
  <c r="I71" i="5"/>
  <c r="D71" i="5"/>
  <c r="C74" i="5"/>
  <c r="C53" i="5"/>
  <c r="H52" i="5"/>
  <c r="R52" i="5"/>
  <c r="M52" i="5"/>
  <c r="M74" i="5"/>
  <c r="R74" i="5"/>
  <c r="H74" i="5"/>
  <c r="G72" i="5"/>
  <c r="L72" i="5"/>
  <c r="Q72" i="5"/>
  <c r="B72" i="5"/>
  <c r="B51" i="5"/>
  <c r="G50" i="5"/>
  <c r="Q50" i="5"/>
  <c r="L50" i="5"/>
  <c r="C39" i="4"/>
  <c r="F38" i="4" a="1"/>
  <c r="F38" i="4" s="1"/>
  <c r="E38" i="4" a="1"/>
  <c r="E38" i="4" s="1"/>
  <c r="H75" i="5" l="1"/>
  <c r="B88" i="31"/>
  <c r="S72" i="5"/>
  <c r="D72" i="5"/>
  <c r="I72" i="5"/>
  <c r="N72" i="5"/>
  <c r="D51" i="5"/>
  <c r="I50" i="5"/>
  <c r="S50" i="5"/>
  <c r="N50" i="5"/>
  <c r="M75" i="5"/>
  <c r="R75" i="5"/>
  <c r="C75" i="5"/>
  <c r="C54" i="5"/>
  <c r="M53" i="5"/>
  <c r="H53" i="5"/>
  <c r="R53" i="5"/>
  <c r="B52" i="5"/>
  <c r="G51" i="5"/>
  <c r="L51" i="5"/>
  <c r="Q51" i="5"/>
  <c r="B73" i="5"/>
  <c r="G73" i="5"/>
  <c r="L73" i="5"/>
  <c r="Q73" i="5"/>
  <c r="C40" i="4"/>
  <c r="E39" i="4" a="1"/>
  <c r="E39" i="4" s="1"/>
  <c r="F39" i="4" a="1"/>
  <c r="F39" i="4" s="1"/>
  <c r="M76" i="5" l="1"/>
  <c r="B89" i="31"/>
  <c r="D52" i="5"/>
  <c r="N51" i="5"/>
  <c r="I51" i="5"/>
  <c r="S51" i="5"/>
  <c r="S73" i="5"/>
  <c r="I73" i="5"/>
  <c r="N73" i="5"/>
  <c r="D73" i="5"/>
  <c r="H76" i="5"/>
  <c r="C76" i="5"/>
  <c r="R76" i="5"/>
  <c r="C55" i="5"/>
  <c r="H54" i="5"/>
  <c r="R54" i="5"/>
  <c r="M54" i="5"/>
  <c r="Q74" i="5"/>
  <c r="B74" i="5"/>
  <c r="G74" i="5"/>
  <c r="L74" i="5"/>
  <c r="B53" i="5"/>
  <c r="G52" i="5"/>
  <c r="L52" i="5"/>
  <c r="Q52" i="5"/>
  <c r="F40" i="4" a="1"/>
  <c r="F40" i="4" s="1"/>
  <c r="C41" i="4"/>
  <c r="E40" i="4" a="1"/>
  <c r="E40" i="4" s="1"/>
  <c r="C77" i="5" l="1"/>
  <c r="R77" i="5"/>
  <c r="B90" i="31"/>
  <c r="I74" i="5"/>
  <c r="S74" i="5"/>
  <c r="N74" i="5"/>
  <c r="D74" i="5"/>
  <c r="D53" i="5"/>
  <c r="N52" i="5"/>
  <c r="I52" i="5"/>
  <c r="S52" i="5"/>
  <c r="H77" i="5"/>
  <c r="M77" i="5"/>
  <c r="C56" i="5"/>
  <c r="R55" i="5"/>
  <c r="H55" i="5"/>
  <c r="M55" i="5"/>
  <c r="L75" i="5"/>
  <c r="Q75" i="5"/>
  <c r="B75" i="5"/>
  <c r="G75" i="5"/>
  <c r="B54" i="5"/>
  <c r="G53" i="5"/>
  <c r="L53" i="5"/>
  <c r="Q53" i="5"/>
  <c r="E41" i="4" a="1"/>
  <c r="E41" i="4" s="1"/>
  <c r="C42" i="4"/>
  <c r="F41" i="4" a="1"/>
  <c r="F41" i="4" s="1"/>
  <c r="B91" i="31" l="1"/>
  <c r="S75" i="5"/>
  <c r="I75" i="5"/>
  <c r="N75" i="5"/>
  <c r="D75" i="5"/>
  <c r="D54" i="5"/>
  <c r="S53" i="5"/>
  <c r="I53" i="5"/>
  <c r="N53" i="5"/>
  <c r="H78" i="5"/>
  <c r="M78" i="5"/>
  <c r="R78" i="5"/>
  <c r="C78" i="5"/>
  <c r="C57" i="5"/>
  <c r="H56" i="5"/>
  <c r="R56" i="5"/>
  <c r="M56" i="5"/>
  <c r="G76" i="5"/>
  <c r="Q76" i="5"/>
  <c r="L76" i="5"/>
  <c r="B76" i="5"/>
  <c r="B55" i="5"/>
  <c r="G54" i="5"/>
  <c r="Q54" i="5"/>
  <c r="L54" i="5"/>
  <c r="C43" i="4"/>
  <c r="F42" i="4" a="1"/>
  <c r="F42" i="4" s="1"/>
  <c r="E42" i="4" a="1"/>
  <c r="E42" i="4" s="1"/>
  <c r="C79" i="5" l="1"/>
  <c r="B92" i="31"/>
  <c r="M79" i="5"/>
  <c r="N76" i="5"/>
  <c r="I76" i="5"/>
  <c r="S76" i="5"/>
  <c r="D76" i="5"/>
  <c r="D55" i="5"/>
  <c r="S54" i="5"/>
  <c r="N54" i="5"/>
  <c r="I54" i="5"/>
  <c r="C58" i="5"/>
  <c r="M57" i="5"/>
  <c r="H57" i="5"/>
  <c r="R57" i="5"/>
  <c r="H79" i="5"/>
  <c r="R79" i="5"/>
  <c r="B77" i="5"/>
  <c r="G77" i="5"/>
  <c r="L77" i="5"/>
  <c r="Q77" i="5"/>
  <c r="B56" i="5"/>
  <c r="G55" i="5"/>
  <c r="Q55" i="5"/>
  <c r="L55" i="5"/>
  <c r="C44" i="4"/>
  <c r="F43" i="4" a="1"/>
  <c r="F43" i="4" s="1"/>
  <c r="E43" i="4" a="1"/>
  <c r="E43" i="4" s="1"/>
  <c r="B93" i="31" l="1"/>
  <c r="D77" i="5"/>
  <c r="I77" i="5"/>
  <c r="N77" i="5"/>
  <c r="S77" i="5"/>
  <c r="D56" i="5"/>
  <c r="N55" i="5"/>
  <c r="S55" i="5"/>
  <c r="I55" i="5"/>
  <c r="M80" i="5"/>
  <c r="H80" i="5"/>
  <c r="C80" i="5"/>
  <c r="R80" i="5"/>
  <c r="C59" i="5"/>
  <c r="H58" i="5"/>
  <c r="M58" i="5"/>
  <c r="R58" i="5"/>
  <c r="Q78" i="5"/>
  <c r="B78" i="5"/>
  <c r="G78" i="5"/>
  <c r="L78" i="5"/>
  <c r="B57" i="5"/>
  <c r="G56" i="5"/>
  <c r="Q56" i="5"/>
  <c r="L56" i="5"/>
  <c r="C45" i="4"/>
  <c r="F44" i="4" a="1"/>
  <c r="F44" i="4" s="1"/>
  <c r="E44" i="4" a="1"/>
  <c r="E44" i="4" s="1"/>
  <c r="C81" i="5" l="1"/>
  <c r="B94" i="31"/>
  <c r="R81" i="5"/>
  <c r="N78" i="5"/>
  <c r="I78" i="5"/>
  <c r="S78" i="5"/>
  <c r="D78" i="5"/>
  <c r="D57" i="5"/>
  <c r="N56" i="5"/>
  <c r="S56" i="5"/>
  <c r="I56" i="5"/>
  <c r="C60" i="5"/>
  <c r="R59" i="5"/>
  <c r="H59" i="5"/>
  <c r="M59" i="5"/>
  <c r="H81" i="5"/>
  <c r="M81" i="5"/>
  <c r="L79" i="5"/>
  <c r="Q79" i="5"/>
  <c r="B79" i="5"/>
  <c r="G79" i="5"/>
  <c r="B58" i="5"/>
  <c r="G57" i="5"/>
  <c r="L57" i="5"/>
  <c r="Q57" i="5"/>
  <c r="F45" i="4" a="1"/>
  <c r="F45" i="4" s="1"/>
  <c r="C46" i="4"/>
  <c r="E45" i="4" a="1"/>
  <c r="E45" i="4" s="1"/>
  <c r="B95" i="31" l="1"/>
  <c r="H82" i="5"/>
  <c r="N79" i="5"/>
  <c r="S79" i="5"/>
  <c r="D79" i="5"/>
  <c r="I79" i="5"/>
  <c r="D58" i="5"/>
  <c r="S57" i="5"/>
  <c r="N57" i="5"/>
  <c r="I57" i="5"/>
  <c r="R82" i="5"/>
  <c r="C82" i="5"/>
  <c r="M82" i="5"/>
  <c r="H60" i="5"/>
  <c r="R60" i="5"/>
  <c r="M60" i="5"/>
  <c r="G80" i="5"/>
  <c r="B80" i="5"/>
  <c r="L80" i="5"/>
  <c r="Q80" i="5"/>
  <c r="B59" i="5"/>
  <c r="G58" i="5"/>
  <c r="Q58" i="5"/>
  <c r="L58" i="5"/>
  <c r="C47" i="4"/>
  <c r="E46" i="4" a="1"/>
  <c r="E46" i="4" s="1"/>
  <c r="F46" i="4" a="1"/>
  <c r="F46" i="4" s="1"/>
  <c r="M83" i="5" l="1"/>
  <c r="C83" i="5"/>
  <c r="B96" i="31"/>
  <c r="N80" i="5"/>
  <c r="D80" i="5"/>
  <c r="S80" i="5"/>
  <c r="I80" i="5"/>
  <c r="D59" i="5"/>
  <c r="I58" i="5"/>
  <c r="S58" i="5"/>
  <c r="N58" i="5"/>
  <c r="R83" i="5"/>
  <c r="H83" i="5"/>
  <c r="B81" i="5"/>
  <c r="G81" i="5"/>
  <c r="L81" i="5"/>
  <c r="Q81" i="5"/>
  <c r="B60" i="5"/>
  <c r="G59" i="5"/>
  <c r="Q59" i="5"/>
  <c r="L59" i="5"/>
  <c r="C48" i="4"/>
  <c r="E47" i="4" a="1"/>
  <c r="E47" i="4" s="1"/>
  <c r="F47" i="4" a="1"/>
  <c r="F47" i="4" s="1"/>
  <c r="B97" i="31" l="1"/>
  <c r="D81" i="5"/>
  <c r="S81" i="5"/>
  <c r="N81" i="5"/>
  <c r="I81" i="5"/>
  <c r="D60" i="5"/>
  <c r="S59" i="5"/>
  <c r="I59" i="5"/>
  <c r="N59" i="5"/>
  <c r="Q82" i="5"/>
  <c r="B82" i="5"/>
  <c r="G82" i="5"/>
  <c r="L82" i="5"/>
  <c r="G60" i="5"/>
  <c r="L60" i="5"/>
  <c r="Q60" i="5"/>
  <c r="C49" i="4"/>
  <c r="E48" i="4" a="1"/>
  <c r="E48" i="4" s="1"/>
  <c r="F48" i="4" a="1"/>
  <c r="F48" i="4" s="1"/>
  <c r="B98" i="31" l="1"/>
  <c r="D82" i="5"/>
  <c r="S82" i="5"/>
  <c r="N82" i="5"/>
  <c r="I82" i="5"/>
  <c r="I60" i="5"/>
  <c r="S60" i="5"/>
  <c r="N60" i="5"/>
  <c r="L83" i="5"/>
  <c r="Q83" i="5"/>
  <c r="B83" i="5"/>
  <c r="G83" i="5"/>
  <c r="C50" i="4"/>
  <c r="F49" i="4" a="1"/>
  <c r="F49" i="4" s="1"/>
  <c r="E49" i="4" a="1"/>
  <c r="E49" i="4" s="1"/>
  <c r="D83" i="5" l="1"/>
  <c r="S83" i="5"/>
  <c r="B99" i="31"/>
  <c r="N83" i="5"/>
  <c r="I83" i="5"/>
  <c r="C51" i="4"/>
  <c r="E50" i="4" a="1"/>
  <c r="E50" i="4" s="1"/>
  <c r="F50" i="4" a="1"/>
  <c r="F50" i="4" s="1"/>
  <c r="B100" i="31" l="1"/>
  <c r="C52" i="4"/>
  <c r="F51" i="4" a="1"/>
  <c r="F51" i="4" s="1"/>
  <c r="E51" i="4" a="1"/>
  <c r="E51" i="4" s="1"/>
  <c r="B101" i="31" l="1"/>
  <c r="C53" i="4"/>
  <c r="F52" i="4" a="1"/>
  <c r="F52" i="4" s="1"/>
  <c r="E52" i="4" a="1"/>
  <c r="E52" i="4" s="1"/>
  <c r="B102" i="31" l="1"/>
  <c r="C54" i="4"/>
  <c r="F53" i="4" a="1"/>
  <c r="F53" i="4" s="1"/>
  <c r="E53" i="4" a="1"/>
  <c r="E53" i="4" s="1"/>
  <c r="B104" i="31" l="1"/>
  <c r="B103" i="31"/>
  <c r="F54" i="4" a="1"/>
  <c r="F54" i="4" s="1"/>
  <c r="E54" i="4" a="1"/>
  <c r="E54" i="4" s="1"/>
  <c r="D35" i="4" a="1"/>
  <c r="C3" i="31" l="1"/>
  <c r="F3" i="31" s="1"/>
  <c r="C4" i="31"/>
  <c r="F4" i="31" s="1"/>
  <c r="C5" i="31"/>
  <c r="F5" i="31" s="1"/>
  <c r="C6" i="31"/>
  <c r="F6" i="31" s="1"/>
  <c r="C7" i="31"/>
  <c r="F7" i="31" s="1"/>
  <c r="C8" i="31"/>
  <c r="F8" i="31" s="1"/>
  <c r="C9" i="31"/>
  <c r="F9" i="31" s="1"/>
  <c r="C10" i="31"/>
  <c r="F10" i="31" s="1"/>
  <c r="C11" i="31"/>
  <c r="F11" i="31" s="1"/>
  <c r="C12" i="31"/>
  <c r="F12" i="31" s="1"/>
  <c r="C13" i="31"/>
  <c r="F13" i="31" s="1"/>
  <c r="C14" i="31"/>
  <c r="F14" i="31" s="1"/>
  <c r="C15" i="31"/>
  <c r="F15" i="31" s="1"/>
  <c r="C16" i="31"/>
  <c r="F16" i="31" s="1"/>
  <c r="C17" i="31"/>
  <c r="F17" i="31" s="1"/>
  <c r="C18" i="31"/>
  <c r="F18" i="31" s="1"/>
  <c r="C19" i="31"/>
  <c r="F19" i="31" s="1"/>
  <c r="C20" i="31"/>
  <c r="F20" i="31" s="1"/>
  <c r="C21" i="31"/>
  <c r="F21" i="31" s="1"/>
  <c r="C22" i="31"/>
  <c r="F22" i="31" s="1"/>
  <c r="C23" i="31"/>
  <c r="F23" i="31" s="1"/>
  <c r="C24" i="31"/>
  <c r="F24" i="31" s="1"/>
  <c r="C25" i="31"/>
  <c r="F25" i="31" s="1"/>
  <c r="C26" i="31"/>
  <c r="F26" i="31" s="1"/>
  <c r="C27" i="31"/>
  <c r="F27" i="31" s="1"/>
  <c r="C28" i="31"/>
  <c r="F28" i="31" s="1"/>
  <c r="C29" i="31"/>
  <c r="F29" i="31" s="1"/>
  <c r="C30" i="31"/>
  <c r="F30" i="31" s="1"/>
  <c r="C31" i="31"/>
  <c r="F31" i="31" s="1"/>
  <c r="C32" i="31"/>
  <c r="F32" i="31" s="1"/>
  <c r="C33" i="31"/>
  <c r="F33" i="31" s="1"/>
  <c r="C34" i="31"/>
  <c r="F34" i="31" s="1"/>
  <c r="C35" i="31"/>
  <c r="F35" i="31" s="1"/>
  <c r="C36" i="31"/>
  <c r="F36" i="31" s="1"/>
  <c r="C37" i="31"/>
  <c r="F37" i="31" s="1"/>
  <c r="C38" i="31"/>
  <c r="F38" i="31" s="1"/>
  <c r="C39" i="31"/>
  <c r="F39" i="31" s="1"/>
  <c r="C40" i="31"/>
  <c r="F40" i="31" s="1"/>
  <c r="C41" i="31"/>
  <c r="F41" i="31" s="1"/>
  <c r="C42" i="31"/>
  <c r="F42" i="31" s="1"/>
  <c r="C43" i="31"/>
  <c r="F43" i="31" s="1"/>
  <c r="C44" i="31"/>
  <c r="F44" i="31" s="1"/>
  <c r="C45" i="31"/>
  <c r="F45" i="31" s="1"/>
  <c r="C46" i="31"/>
  <c r="F46" i="31" s="1"/>
  <c r="C47" i="31"/>
  <c r="F47" i="31" s="1"/>
  <c r="C48" i="31"/>
  <c r="F48" i="31" s="1"/>
  <c r="C49" i="31"/>
  <c r="F49" i="31" s="1"/>
  <c r="C50" i="31"/>
  <c r="F50" i="31" s="1"/>
  <c r="C51" i="31"/>
  <c r="F51" i="31" s="1"/>
  <c r="C52" i="31"/>
  <c r="F52" i="31" s="1"/>
  <c r="C53" i="31"/>
  <c r="F53" i="31" s="1"/>
  <c r="C54" i="31"/>
  <c r="F54" i="31" s="1"/>
  <c r="C55" i="31"/>
  <c r="F55" i="31" s="1"/>
  <c r="C56" i="31"/>
  <c r="F56" i="31" s="1"/>
  <c r="C57" i="31"/>
  <c r="F57" i="31" s="1"/>
  <c r="C58" i="31"/>
  <c r="F58" i="31" s="1"/>
  <c r="C59" i="31"/>
  <c r="F59" i="31" s="1"/>
  <c r="C60" i="31"/>
  <c r="F60" i="31" s="1"/>
  <c r="C61" i="31"/>
  <c r="F61" i="31" s="1"/>
  <c r="C62" i="31"/>
  <c r="F62" i="31" s="1"/>
  <c r="C63" i="31"/>
  <c r="F63" i="31" s="1"/>
  <c r="C64" i="31"/>
  <c r="F64" i="31" s="1"/>
  <c r="C65" i="31"/>
  <c r="F65" i="31" s="1"/>
  <c r="C66" i="31"/>
  <c r="F66" i="31" s="1"/>
  <c r="C67" i="31"/>
  <c r="F67" i="31" s="1"/>
  <c r="C68" i="31"/>
  <c r="F68" i="31" s="1"/>
  <c r="C69" i="31"/>
  <c r="F69" i="31" s="1"/>
  <c r="C70" i="31"/>
  <c r="F70" i="31" s="1"/>
  <c r="C71" i="31"/>
  <c r="F71" i="31" s="1"/>
  <c r="C72" i="31"/>
  <c r="F72" i="31" s="1"/>
  <c r="C73" i="31"/>
  <c r="F73" i="31" s="1"/>
  <c r="C74" i="31"/>
  <c r="F74" i="31" s="1"/>
  <c r="C75" i="31"/>
  <c r="F75" i="31" s="1"/>
  <c r="C76" i="31"/>
  <c r="F76" i="31" s="1"/>
  <c r="C77" i="31"/>
  <c r="F77" i="31" s="1"/>
  <c r="C78" i="31"/>
  <c r="F78" i="31" s="1"/>
  <c r="C79" i="31"/>
  <c r="F79" i="31" s="1"/>
  <c r="C80" i="31"/>
  <c r="F80" i="31" s="1"/>
  <c r="C81" i="31"/>
  <c r="F81" i="31" s="1"/>
  <c r="C82" i="31"/>
  <c r="F82" i="31" s="1"/>
  <c r="C83" i="31"/>
  <c r="F83" i="31" s="1"/>
  <c r="C84" i="31"/>
  <c r="F84" i="31" s="1"/>
  <c r="C85" i="31"/>
  <c r="F85" i="31" s="1"/>
  <c r="C86" i="31"/>
  <c r="F86" i="31" s="1"/>
  <c r="C87" i="31"/>
  <c r="F87" i="31" s="1"/>
  <c r="C88" i="31"/>
  <c r="F88" i="31" s="1"/>
  <c r="C89" i="31"/>
  <c r="F89" i="31" s="1"/>
  <c r="C90" i="31"/>
  <c r="F90" i="31" s="1"/>
  <c r="C91" i="31"/>
  <c r="F91" i="31" s="1"/>
  <c r="C92" i="31"/>
  <c r="F92" i="31" s="1"/>
  <c r="C93" i="31"/>
  <c r="F93" i="31" s="1"/>
  <c r="C94" i="31"/>
  <c r="F94" i="31" s="1"/>
  <c r="C95" i="31"/>
  <c r="F95" i="31" s="1"/>
  <c r="C96" i="31"/>
  <c r="F96" i="31" s="1"/>
  <c r="C97" i="31"/>
  <c r="F97" i="31" s="1"/>
  <c r="C98" i="31"/>
  <c r="F98" i="31" s="1"/>
  <c r="C99" i="31"/>
  <c r="F99" i="31" s="1"/>
  <c r="C100" i="31"/>
  <c r="F100" i="31" s="1"/>
  <c r="C101" i="31"/>
  <c r="F101" i="31" s="1"/>
  <c r="C102" i="31"/>
  <c r="D47" i="4"/>
  <c r="D55" i="4"/>
  <c r="D35" i="4"/>
  <c r="D51" i="4"/>
  <c r="D42" i="4"/>
  <c r="D46" i="4"/>
  <c r="D44" i="4"/>
  <c r="D54" i="4"/>
  <c r="D52" i="4"/>
  <c r="D37" i="4"/>
  <c r="D38" i="4"/>
  <c r="D43" i="4"/>
  <c r="D41" i="4"/>
  <c r="D49" i="4"/>
  <c r="D40" i="4"/>
  <c r="D53" i="4"/>
  <c r="D36" i="4"/>
  <c r="D48" i="4"/>
  <c r="D45" i="4"/>
  <c r="D39" i="4"/>
  <c r="D50" i="4"/>
  <c r="K17" i="31" l="1"/>
  <c r="L17" i="31"/>
  <c r="M17" i="31"/>
  <c r="O17" i="31"/>
  <c r="G17" i="31"/>
  <c r="H17" i="31"/>
  <c r="I17" i="31"/>
  <c r="J17" i="31"/>
  <c r="N17" i="31"/>
  <c r="M98" i="31"/>
  <c r="I98" i="31"/>
  <c r="G98" i="31"/>
  <c r="H98" i="31"/>
  <c r="J98" i="31"/>
  <c r="K98" i="31"/>
  <c r="L98" i="31"/>
  <c r="N98" i="31"/>
  <c r="O98" i="31"/>
  <c r="L65" i="31"/>
  <c r="N65" i="31"/>
  <c r="O65" i="31"/>
  <c r="J65" i="31"/>
  <c r="K65" i="31"/>
  <c r="M65" i="31"/>
  <c r="G65" i="31"/>
  <c r="H65" i="31"/>
  <c r="I65" i="31"/>
  <c r="H14" i="31"/>
  <c r="I14" i="31"/>
  <c r="J14" i="31"/>
  <c r="K14" i="31"/>
  <c r="M14" i="31"/>
  <c r="N14" i="31"/>
  <c r="G14" i="31"/>
  <c r="L14" i="31"/>
  <c r="O14" i="31"/>
  <c r="L66" i="31"/>
  <c r="M66" i="31"/>
  <c r="J66" i="31"/>
  <c r="K66" i="31"/>
  <c r="N66" i="31"/>
  <c r="G66" i="31"/>
  <c r="H66" i="31"/>
  <c r="I66" i="31"/>
  <c r="O66" i="31"/>
  <c r="L63" i="31"/>
  <c r="H63" i="31"/>
  <c r="I63" i="31"/>
  <c r="O63" i="31"/>
  <c r="G63" i="31"/>
  <c r="J63" i="31"/>
  <c r="K63" i="31"/>
  <c r="M63" i="31"/>
  <c r="N63" i="31"/>
  <c r="I13" i="31"/>
  <c r="J13" i="31"/>
  <c r="L13" i="31"/>
  <c r="N13" i="31"/>
  <c r="O13" i="31"/>
  <c r="H13" i="31"/>
  <c r="G13" i="31"/>
  <c r="K13" i="31"/>
  <c r="M13" i="31"/>
  <c r="M80" i="31"/>
  <c r="J80" i="31"/>
  <c r="I80" i="31"/>
  <c r="K80" i="31"/>
  <c r="G80" i="31"/>
  <c r="H80" i="31"/>
  <c r="L80" i="31"/>
  <c r="N80" i="31"/>
  <c r="O80" i="31"/>
  <c r="M94" i="31"/>
  <c r="I94" i="31"/>
  <c r="O94" i="31"/>
  <c r="G94" i="31"/>
  <c r="H94" i="31"/>
  <c r="J94" i="31"/>
  <c r="K94" i="31"/>
  <c r="L94" i="31"/>
  <c r="N94" i="31"/>
  <c r="H12" i="31"/>
  <c r="I12" i="31"/>
  <c r="K12" i="31"/>
  <c r="M12" i="31"/>
  <c r="N12" i="31"/>
  <c r="O12" i="31"/>
  <c r="G12" i="31"/>
  <c r="J12" i="31"/>
  <c r="L12" i="31"/>
  <c r="H50" i="31"/>
  <c r="G50" i="31"/>
  <c r="I50" i="31"/>
  <c r="J50" i="31"/>
  <c r="K50" i="31"/>
  <c r="N50" i="31"/>
  <c r="L50" i="31"/>
  <c r="M50" i="31"/>
  <c r="O50" i="31"/>
  <c r="I16" i="31"/>
  <c r="J16" i="31"/>
  <c r="K16" i="31"/>
  <c r="L16" i="31"/>
  <c r="N16" i="31"/>
  <c r="O16" i="31"/>
  <c r="G16" i="31"/>
  <c r="H16" i="31"/>
  <c r="M16" i="31"/>
  <c r="G30" i="31"/>
  <c r="H30" i="31"/>
  <c r="I30" i="31"/>
  <c r="K30" i="31"/>
  <c r="L30" i="31"/>
  <c r="M30" i="31"/>
  <c r="N30" i="31"/>
  <c r="O30" i="31"/>
  <c r="J30" i="31"/>
  <c r="G91" i="31"/>
  <c r="M91" i="31"/>
  <c r="I91" i="31"/>
  <c r="J91" i="31"/>
  <c r="K91" i="31"/>
  <c r="L91" i="31"/>
  <c r="N91" i="31"/>
  <c r="O91" i="31"/>
  <c r="H91" i="31"/>
  <c r="G11" i="31"/>
  <c r="H11" i="31"/>
  <c r="J11" i="31"/>
  <c r="L11" i="31"/>
  <c r="M11" i="31"/>
  <c r="N11" i="31"/>
  <c r="O11" i="31"/>
  <c r="I11" i="31"/>
  <c r="K11" i="31"/>
  <c r="G18" i="31"/>
  <c r="L18" i="31"/>
  <c r="M18" i="31"/>
  <c r="N18" i="31"/>
  <c r="I18" i="31"/>
  <c r="J18" i="31"/>
  <c r="K18" i="31"/>
  <c r="O18" i="31"/>
  <c r="H18" i="31"/>
  <c r="L48" i="31"/>
  <c r="G48" i="31"/>
  <c r="H48" i="31"/>
  <c r="I48" i="31"/>
  <c r="K48" i="31"/>
  <c r="M48" i="31"/>
  <c r="O48" i="31"/>
  <c r="J48" i="31"/>
  <c r="N48" i="31"/>
  <c r="L62" i="31"/>
  <c r="M62" i="31"/>
  <c r="J62" i="31"/>
  <c r="G62" i="31"/>
  <c r="I62" i="31"/>
  <c r="K62" i="31"/>
  <c r="H62" i="31"/>
  <c r="N62" i="31"/>
  <c r="O62" i="31"/>
  <c r="M76" i="31"/>
  <c r="J76" i="31"/>
  <c r="O76" i="31"/>
  <c r="G76" i="31"/>
  <c r="H76" i="31"/>
  <c r="I76" i="31"/>
  <c r="K76" i="31"/>
  <c r="L76" i="31"/>
  <c r="N76" i="31"/>
  <c r="M90" i="31"/>
  <c r="N90" i="31"/>
  <c r="L90" i="31"/>
  <c r="O90" i="31"/>
  <c r="G90" i="31"/>
  <c r="H90" i="31"/>
  <c r="I90" i="31"/>
  <c r="J90" i="31"/>
  <c r="K90" i="31"/>
  <c r="H26" i="31"/>
  <c r="J26" i="31"/>
  <c r="I26" i="31"/>
  <c r="K26" i="31"/>
  <c r="L26" i="31"/>
  <c r="M26" i="31"/>
  <c r="N26" i="31"/>
  <c r="O26" i="31"/>
  <c r="G26" i="31"/>
  <c r="G10" i="31"/>
  <c r="I10" i="31"/>
  <c r="K10" i="31"/>
  <c r="L10" i="31"/>
  <c r="M10" i="31"/>
  <c r="N10" i="31"/>
  <c r="H10" i="31"/>
  <c r="J10" i="31"/>
  <c r="O10" i="31"/>
  <c r="G34" i="31"/>
  <c r="I34" i="31"/>
  <c r="J34" i="31"/>
  <c r="K34" i="31"/>
  <c r="L34" i="31"/>
  <c r="N34" i="31"/>
  <c r="O34" i="31"/>
  <c r="H34" i="31"/>
  <c r="M34" i="31"/>
  <c r="G32" i="31"/>
  <c r="H32" i="31"/>
  <c r="M32" i="31"/>
  <c r="K32" i="31"/>
  <c r="N32" i="31"/>
  <c r="O32" i="31"/>
  <c r="I32" i="31"/>
  <c r="J32" i="31"/>
  <c r="L32" i="31"/>
  <c r="K46" i="31"/>
  <c r="L46" i="31"/>
  <c r="M46" i="31"/>
  <c r="N46" i="31"/>
  <c r="O46" i="31"/>
  <c r="H46" i="31"/>
  <c r="I46" i="31"/>
  <c r="J46" i="31"/>
  <c r="G46" i="31"/>
  <c r="L44" i="31"/>
  <c r="M44" i="31"/>
  <c r="O44" i="31"/>
  <c r="G44" i="31"/>
  <c r="I44" i="31"/>
  <c r="J44" i="31"/>
  <c r="K44" i="31"/>
  <c r="N44" i="31"/>
  <c r="H44" i="31"/>
  <c r="J41" i="31"/>
  <c r="K41" i="31"/>
  <c r="L41" i="31"/>
  <c r="N41" i="31"/>
  <c r="G41" i="31"/>
  <c r="H41" i="31"/>
  <c r="I41" i="31"/>
  <c r="M41" i="31"/>
  <c r="O41" i="31"/>
  <c r="H9" i="31"/>
  <c r="J9" i="31"/>
  <c r="K9" i="31"/>
  <c r="L9" i="31"/>
  <c r="M9" i="31"/>
  <c r="O9" i="31"/>
  <c r="G9" i="31"/>
  <c r="I9" i="31"/>
  <c r="N9" i="31"/>
  <c r="L81" i="31"/>
  <c r="M81" i="31"/>
  <c r="G81" i="31"/>
  <c r="H81" i="31"/>
  <c r="I81" i="31"/>
  <c r="J81" i="31"/>
  <c r="K81" i="31"/>
  <c r="N81" i="31"/>
  <c r="O81" i="31"/>
  <c r="J31" i="31"/>
  <c r="G31" i="31"/>
  <c r="H31" i="31"/>
  <c r="I31" i="31"/>
  <c r="K31" i="31"/>
  <c r="L31" i="31"/>
  <c r="M31" i="31"/>
  <c r="N31" i="31"/>
  <c r="O31" i="31"/>
  <c r="N29" i="31"/>
  <c r="O29" i="31"/>
  <c r="H29" i="31"/>
  <c r="J29" i="31"/>
  <c r="K29" i="31"/>
  <c r="L29" i="31"/>
  <c r="M29" i="31"/>
  <c r="G29" i="31"/>
  <c r="I29" i="31"/>
  <c r="G59" i="31"/>
  <c r="H59" i="31"/>
  <c r="K59" i="31"/>
  <c r="J59" i="31"/>
  <c r="M59" i="31"/>
  <c r="O59" i="31"/>
  <c r="I59" i="31"/>
  <c r="L59" i="31"/>
  <c r="N59" i="31"/>
  <c r="J89" i="31"/>
  <c r="K89" i="31"/>
  <c r="G89" i="31"/>
  <c r="H89" i="31"/>
  <c r="I89" i="31"/>
  <c r="L89" i="31"/>
  <c r="M89" i="31"/>
  <c r="N89" i="31"/>
  <c r="O89" i="31"/>
  <c r="H40" i="31"/>
  <c r="O40" i="31"/>
  <c r="N40" i="31"/>
  <c r="G40" i="31"/>
  <c r="I40" i="31"/>
  <c r="J40" i="31"/>
  <c r="K40" i="31"/>
  <c r="L40" i="31"/>
  <c r="M40" i="31"/>
  <c r="L24" i="31"/>
  <c r="M24" i="31"/>
  <c r="I24" i="31"/>
  <c r="K24" i="31"/>
  <c r="N24" i="31"/>
  <c r="O24" i="31"/>
  <c r="G24" i="31"/>
  <c r="H24" i="31"/>
  <c r="J24" i="31"/>
  <c r="G8" i="31"/>
  <c r="I8" i="31"/>
  <c r="J8" i="31"/>
  <c r="K8" i="31"/>
  <c r="L8" i="31"/>
  <c r="N8" i="31"/>
  <c r="O8" i="31"/>
  <c r="H8" i="31"/>
  <c r="M8" i="31"/>
  <c r="G33" i="31"/>
  <c r="H33" i="31"/>
  <c r="I33" i="31"/>
  <c r="K33" i="31"/>
  <c r="L33" i="31"/>
  <c r="M33" i="31"/>
  <c r="N33" i="31"/>
  <c r="O33" i="31"/>
  <c r="J33" i="31"/>
  <c r="O79" i="31"/>
  <c r="G79" i="31"/>
  <c r="H79" i="31"/>
  <c r="I79" i="31"/>
  <c r="J79" i="31"/>
  <c r="K79" i="31"/>
  <c r="L79" i="31"/>
  <c r="M79" i="31"/>
  <c r="N79" i="31"/>
  <c r="L61" i="31"/>
  <c r="H61" i="31"/>
  <c r="J61" i="31"/>
  <c r="M61" i="31"/>
  <c r="N61" i="31"/>
  <c r="G61" i="31"/>
  <c r="I61" i="31"/>
  <c r="K61" i="31"/>
  <c r="O61" i="31"/>
  <c r="N43" i="31"/>
  <c r="G43" i="31"/>
  <c r="I43" i="31"/>
  <c r="J43" i="31"/>
  <c r="K43" i="31"/>
  <c r="L43" i="31"/>
  <c r="M43" i="31"/>
  <c r="O43" i="31"/>
  <c r="H43" i="31"/>
  <c r="G57" i="31"/>
  <c r="H57" i="31"/>
  <c r="M57" i="31"/>
  <c r="N57" i="31"/>
  <c r="J57" i="31"/>
  <c r="K57" i="31"/>
  <c r="I57" i="31"/>
  <c r="L57" i="31"/>
  <c r="O57" i="31"/>
  <c r="L71" i="31"/>
  <c r="G71" i="31"/>
  <c r="H71" i="31"/>
  <c r="I71" i="31"/>
  <c r="J71" i="31"/>
  <c r="K71" i="31"/>
  <c r="M71" i="31"/>
  <c r="N71" i="31"/>
  <c r="O71" i="31"/>
  <c r="M39" i="31"/>
  <c r="H39" i="31"/>
  <c r="J39" i="31"/>
  <c r="K39" i="31"/>
  <c r="G39" i="31"/>
  <c r="I39" i="31"/>
  <c r="L39" i="31"/>
  <c r="O39" i="31"/>
  <c r="N39" i="31"/>
  <c r="K23" i="31"/>
  <c r="L23" i="31"/>
  <c r="N23" i="31"/>
  <c r="G23" i="31"/>
  <c r="H23" i="31"/>
  <c r="I23" i="31"/>
  <c r="J23" i="31"/>
  <c r="M23" i="31"/>
  <c r="O23" i="31"/>
  <c r="H7" i="31"/>
  <c r="I7" i="31"/>
  <c r="J7" i="31"/>
  <c r="K7" i="31"/>
  <c r="M7" i="31"/>
  <c r="N7" i="31"/>
  <c r="G7" i="31"/>
  <c r="L7" i="31"/>
  <c r="O7" i="31"/>
  <c r="L64" i="31"/>
  <c r="M64" i="31"/>
  <c r="J64" i="31"/>
  <c r="N64" i="31"/>
  <c r="G64" i="31"/>
  <c r="H64" i="31"/>
  <c r="I64" i="31"/>
  <c r="K64" i="31"/>
  <c r="O64" i="31"/>
  <c r="M78" i="31"/>
  <c r="J78" i="31"/>
  <c r="K78" i="31"/>
  <c r="L78" i="31"/>
  <c r="G78" i="31"/>
  <c r="H78" i="31"/>
  <c r="I78" i="31"/>
  <c r="N78" i="31"/>
  <c r="O78" i="31"/>
  <c r="K28" i="31"/>
  <c r="L28" i="31"/>
  <c r="N28" i="31"/>
  <c r="G28" i="31"/>
  <c r="H28" i="31"/>
  <c r="I28" i="31"/>
  <c r="J28" i="31"/>
  <c r="M28" i="31"/>
  <c r="O28" i="31"/>
  <c r="H42" i="31"/>
  <c r="N42" i="31"/>
  <c r="O42" i="31"/>
  <c r="G42" i="31"/>
  <c r="I42" i="31"/>
  <c r="J42" i="31"/>
  <c r="K42" i="31"/>
  <c r="L42" i="31"/>
  <c r="M42" i="31"/>
  <c r="M88" i="31"/>
  <c r="I88" i="31"/>
  <c r="J88" i="31"/>
  <c r="G88" i="31"/>
  <c r="H88" i="31"/>
  <c r="K88" i="31"/>
  <c r="L88" i="31"/>
  <c r="N88" i="31"/>
  <c r="O88" i="31"/>
  <c r="I38" i="31"/>
  <c r="K38" i="31"/>
  <c r="L38" i="31"/>
  <c r="M38" i="31"/>
  <c r="G38" i="31"/>
  <c r="H38" i="31"/>
  <c r="J38" i="31"/>
  <c r="N38" i="31"/>
  <c r="O38" i="31"/>
  <c r="J22" i="31"/>
  <c r="K22" i="31"/>
  <c r="G22" i="31"/>
  <c r="H22" i="31"/>
  <c r="I22" i="31"/>
  <c r="L22" i="31"/>
  <c r="M22" i="31"/>
  <c r="N22" i="31"/>
  <c r="O22" i="31"/>
  <c r="G6" i="31"/>
  <c r="H6" i="31"/>
  <c r="I6" i="31"/>
  <c r="J6" i="31"/>
  <c r="L6" i="31"/>
  <c r="M6" i="31"/>
  <c r="O6" i="31"/>
  <c r="K6" i="31"/>
  <c r="N6" i="31"/>
  <c r="J49" i="31"/>
  <c r="K49" i="31"/>
  <c r="M49" i="31"/>
  <c r="O49" i="31"/>
  <c r="G49" i="31"/>
  <c r="H49" i="31"/>
  <c r="I49" i="31"/>
  <c r="N49" i="31"/>
  <c r="L49" i="31"/>
  <c r="G47" i="31"/>
  <c r="H47" i="31"/>
  <c r="J47" i="31"/>
  <c r="K47" i="31"/>
  <c r="L47" i="31"/>
  <c r="M47" i="31"/>
  <c r="N47" i="31"/>
  <c r="O47" i="31"/>
  <c r="I47" i="31"/>
  <c r="J45" i="31"/>
  <c r="G45" i="31"/>
  <c r="I45" i="31"/>
  <c r="K45" i="31"/>
  <c r="L45" i="31"/>
  <c r="M45" i="31"/>
  <c r="N45" i="31"/>
  <c r="O45" i="31"/>
  <c r="H45" i="31"/>
  <c r="H27" i="31"/>
  <c r="I27" i="31"/>
  <c r="N27" i="31"/>
  <c r="G27" i="31"/>
  <c r="J27" i="31"/>
  <c r="K27" i="31"/>
  <c r="L27" i="31"/>
  <c r="M27" i="31"/>
  <c r="O27" i="31"/>
  <c r="G25" i="31"/>
  <c r="H25" i="31"/>
  <c r="M25" i="31"/>
  <c r="O25" i="31"/>
  <c r="I25" i="31"/>
  <c r="J25" i="31"/>
  <c r="K25" i="31"/>
  <c r="L25" i="31"/>
  <c r="N25" i="31"/>
  <c r="L69" i="31"/>
  <c r="M69" i="31"/>
  <c r="N69" i="31"/>
  <c r="J69" i="31"/>
  <c r="K69" i="31"/>
  <c r="O69" i="31"/>
  <c r="G69" i="31"/>
  <c r="H69" i="31"/>
  <c r="I69" i="31"/>
  <c r="I21" i="31"/>
  <c r="J21" i="31"/>
  <c r="O21" i="31"/>
  <c r="G21" i="31"/>
  <c r="K21" i="31"/>
  <c r="L21" i="31"/>
  <c r="M21" i="31"/>
  <c r="N21" i="31"/>
  <c r="H21" i="31"/>
  <c r="G5" i="31"/>
  <c r="H5" i="31"/>
  <c r="I5" i="31"/>
  <c r="K5" i="31"/>
  <c r="L5" i="31"/>
  <c r="N5" i="31"/>
  <c r="J5" i="31"/>
  <c r="M5" i="31"/>
  <c r="O5" i="31"/>
  <c r="M82" i="31"/>
  <c r="J82" i="31"/>
  <c r="G82" i="31"/>
  <c r="H82" i="31"/>
  <c r="K82" i="31"/>
  <c r="I82" i="31"/>
  <c r="L82" i="31"/>
  <c r="N82" i="31"/>
  <c r="O82" i="31"/>
  <c r="M96" i="31"/>
  <c r="L96" i="31"/>
  <c r="I96" i="31"/>
  <c r="G96" i="31"/>
  <c r="H96" i="31"/>
  <c r="J96" i="31"/>
  <c r="K96" i="31"/>
  <c r="N96" i="31"/>
  <c r="O96" i="31"/>
  <c r="M95" i="31"/>
  <c r="J95" i="31"/>
  <c r="K95" i="31"/>
  <c r="L95" i="31"/>
  <c r="O95" i="31"/>
  <c r="N95" i="31"/>
  <c r="G95" i="31"/>
  <c r="H95" i="31"/>
  <c r="I95" i="31"/>
  <c r="J93" i="31"/>
  <c r="G93" i="31"/>
  <c r="H93" i="31"/>
  <c r="I93" i="31"/>
  <c r="K93" i="31"/>
  <c r="L93" i="31"/>
  <c r="M93" i="31"/>
  <c r="N93" i="31"/>
  <c r="O93" i="31"/>
  <c r="L60" i="31"/>
  <c r="M60" i="31"/>
  <c r="J60" i="31"/>
  <c r="G60" i="31"/>
  <c r="I60" i="31"/>
  <c r="N60" i="31"/>
  <c r="K60" i="31"/>
  <c r="O60" i="31"/>
  <c r="H60" i="31"/>
  <c r="O58" i="31"/>
  <c r="I58" i="31"/>
  <c r="J58" i="31"/>
  <c r="N58" i="31"/>
  <c r="G58" i="31"/>
  <c r="K58" i="31"/>
  <c r="M58" i="31"/>
  <c r="H58" i="31"/>
  <c r="L58" i="31"/>
  <c r="M72" i="31"/>
  <c r="J72" i="31"/>
  <c r="N72" i="31"/>
  <c r="O72" i="31"/>
  <c r="G72" i="31"/>
  <c r="H72" i="31"/>
  <c r="I72" i="31"/>
  <c r="K72" i="31"/>
  <c r="L72" i="31"/>
  <c r="G87" i="31"/>
  <c r="H87" i="31"/>
  <c r="I87" i="31"/>
  <c r="J87" i="31"/>
  <c r="K87" i="31"/>
  <c r="L87" i="31"/>
  <c r="M87" i="31"/>
  <c r="N87" i="31"/>
  <c r="O87" i="31"/>
  <c r="F102" i="31"/>
  <c r="C103" i="31"/>
  <c r="C104" i="31"/>
  <c r="O54" i="31"/>
  <c r="H54" i="31"/>
  <c r="J54" i="31"/>
  <c r="K54" i="31"/>
  <c r="N54" i="31"/>
  <c r="G54" i="31"/>
  <c r="I54" i="31"/>
  <c r="L54" i="31"/>
  <c r="M54" i="31"/>
  <c r="G53" i="31"/>
  <c r="I53" i="31"/>
  <c r="K53" i="31"/>
  <c r="M53" i="31"/>
  <c r="N53" i="31"/>
  <c r="H53" i="31"/>
  <c r="J53" i="31"/>
  <c r="L53" i="31"/>
  <c r="O53" i="31"/>
  <c r="M100" i="31"/>
  <c r="L100" i="31"/>
  <c r="G100" i="31"/>
  <c r="I100" i="31"/>
  <c r="J100" i="31"/>
  <c r="H100" i="31"/>
  <c r="N100" i="31"/>
  <c r="O100" i="31"/>
  <c r="K100" i="31"/>
  <c r="M84" i="31"/>
  <c r="J84" i="31"/>
  <c r="K84" i="31"/>
  <c r="H84" i="31"/>
  <c r="G84" i="31"/>
  <c r="I84" i="31"/>
  <c r="L84" i="31"/>
  <c r="N84" i="31"/>
  <c r="O84" i="31"/>
  <c r="L68" i="31"/>
  <c r="M68" i="31"/>
  <c r="J68" i="31"/>
  <c r="G68" i="31"/>
  <c r="H68" i="31"/>
  <c r="I68" i="31"/>
  <c r="K68" i="31"/>
  <c r="N68" i="31"/>
  <c r="O68" i="31"/>
  <c r="I52" i="31"/>
  <c r="H52" i="31"/>
  <c r="J52" i="31"/>
  <c r="L52" i="31"/>
  <c r="N52" i="31"/>
  <c r="O52" i="31"/>
  <c r="G52" i="31"/>
  <c r="M52" i="31"/>
  <c r="K52" i="31"/>
  <c r="M36" i="31"/>
  <c r="O36" i="31"/>
  <c r="H36" i="31"/>
  <c r="I36" i="31"/>
  <c r="J36" i="31"/>
  <c r="K36" i="31"/>
  <c r="G36" i="31"/>
  <c r="L36" i="31"/>
  <c r="N36" i="31"/>
  <c r="H20" i="31"/>
  <c r="I20" i="31"/>
  <c r="N20" i="31"/>
  <c r="G20" i="31"/>
  <c r="J20" i="31"/>
  <c r="K20" i="31"/>
  <c r="L20" i="31"/>
  <c r="O20" i="31"/>
  <c r="M20" i="31"/>
  <c r="G4" i="31"/>
  <c r="H4" i="31"/>
  <c r="J4" i="31"/>
  <c r="K4" i="31"/>
  <c r="M4" i="31"/>
  <c r="O4" i="31"/>
  <c r="I4" i="31"/>
  <c r="L4" i="31"/>
  <c r="N4" i="31"/>
  <c r="H97" i="31"/>
  <c r="I97" i="31"/>
  <c r="J97" i="31"/>
  <c r="K97" i="31"/>
  <c r="L97" i="31"/>
  <c r="M97" i="31"/>
  <c r="N97" i="31"/>
  <c r="O97" i="31"/>
  <c r="G97" i="31"/>
  <c r="H15" i="31"/>
  <c r="I15" i="31"/>
  <c r="J15" i="31"/>
  <c r="K15" i="31"/>
  <c r="M15" i="31"/>
  <c r="N15" i="31"/>
  <c r="G15" i="31"/>
  <c r="L15" i="31"/>
  <c r="O15" i="31"/>
  <c r="I77" i="31"/>
  <c r="J77" i="31"/>
  <c r="G77" i="31"/>
  <c r="H77" i="31"/>
  <c r="K77" i="31"/>
  <c r="L77" i="31"/>
  <c r="M77" i="31"/>
  <c r="N77" i="31"/>
  <c r="O77" i="31"/>
  <c r="M92" i="31"/>
  <c r="I92" i="31"/>
  <c r="H92" i="31"/>
  <c r="G92" i="31"/>
  <c r="J92" i="31"/>
  <c r="K92" i="31"/>
  <c r="L92" i="31"/>
  <c r="N92" i="31"/>
  <c r="O92" i="31"/>
  <c r="L75" i="31"/>
  <c r="I75" i="31"/>
  <c r="J75" i="31"/>
  <c r="G75" i="31"/>
  <c r="H75" i="31"/>
  <c r="K75" i="31"/>
  <c r="M75" i="31"/>
  <c r="N75" i="31"/>
  <c r="O75" i="31"/>
  <c r="M74" i="31"/>
  <c r="J74" i="31"/>
  <c r="N74" i="31"/>
  <c r="O74" i="31"/>
  <c r="G74" i="31"/>
  <c r="H74" i="31"/>
  <c r="I74" i="31"/>
  <c r="K74" i="31"/>
  <c r="L74" i="31"/>
  <c r="L73" i="31"/>
  <c r="I73" i="31"/>
  <c r="J73" i="31"/>
  <c r="G73" i="31"/>
  <c r="H73" i="31"/>
  <c r="K73" i="31"/>
  <c r="M73" i="31"/>
  <c r="N73" i="31"/>
  <c r="O73" i="31"/>
  <c r="O56" i="31"/>
  <c r="G56" i="31"/>
  <c r="K56" i="31"/>
  <c r="M56" i="31"/>
  <c r="N56" i="31"/>
  <c r="H56" i="31"/>
  <c r="L56" i="31"/>
  <c r="I56" i="31"/>
  <c r="J56" i="31"/>
  <c r="G55" i="31"/>
  <c r="M55" i="31"/>
  <c r="N55" i="31"/>
  <c r="J55" i="31"/>
  <c r="K55" i="31"/>
  <c r="I55" i="31"/>
  <c r="L55" i="31"/>
  <c r="O55" i="31"/>
  <c r="H55" i="31"/>
  <c r="M86" i="31"/>
  <c r="G86" i="31"/>
  <c r="N86" i="31"/>
  <c r="O86" i="31"/>
  <c r="H86" i="31"/>
  <c r="I86" i="31"/>
  <c r="J86" i="31"/>
  <c r="K86" i="31"/>
  <c r="L86" i="31"/>
  <c r="L70" i="31"/>
  <c r="M70" i="31"/>
  <c r="J70" i="31"/>
  <c r="I70" i="31"/>
  <c r="K70" i="31"/>
  <c r="G70" i="31"/>
  <c r="H70" i="31"/>
  <c r="N70" i="31"/>
  <c r="O70" i="31"/>
  <c r="L101" i="31"/>
  <c r="G101" i="31"/>
  <c r="H101" i="31"/>
  <c r="I101" i="31"/>
  <c r="J101" i="31"/>
  <c r="K101" i="31"/>
  <c r="M101" i="31"/>
  <c r="N101" i="31"/>
  <c r="O101" i="31"/>
  <c r="M85" i="31"/>
  <c r="N85" i="31"/>
  <c r="G85" i="31"/>
  <c r="H85" i="31"/>
  <c r="I85" i="31"/>
  <c r="J85" i="31"/>
  <c r="K85" i="31"/>
  <c r="L85" i="31"/>
  <c r="O85" i="31"/>
  <c r="I37" i="31"/>
  <c r="J37" i="31"/>
  <c r="K37" i="31"/>
  <c r="M37" i="31"/>
  <c r="N37" i="31"/>
  <c r="O37" i="31"/>
  <c r="G37" i="31"/>
  <c r="H37" i="31"/>
  <c r="L37" i="31"/>
  <c r="I99" i="31"/>
  <c r="L99" i="31"/>
  <c r="M99" i="31"/>
  <c r="O99" i="31"/>
  <c r="N99" i="31"/>
  <c r="G99" i="31"/>
  <c r="H99" i="31"/>
  <c r="J99" i="31"/>
  <c r="K99" i="31"/>
  <c r="J83" i="31"/>
  <c r="K83" i="31"/>
  <c r="G83" i="31"/>
  <c r="H83" i="31"/>
  <c r="L83" i="31"/>
  <c r="M83" i="31"/>
  <c r="N83" i="31"/>
  <c r="O83" i="31"/>
  <c r="I83" i="31"/>
  <c r="L67" i="31"/>
  <c r="I67" i="31"/>
  <c r="J67" i="31"/>
  <c r="G67" i="31"/>
  <c r="H67" i="31"/>
  <c r="K67" i="31"/>
  <c r="M67" i="31"/>
  <c r="N67" i="31"/>
  <c r="O67" i="31"/>
  <c r="N51" i="31"/>
  <c r="K51" i="31"/>
  <c r="L51" i="31"/>
  <c r="O51" i="31"/>
  <c r="H51" i="31"/>
  <c r="I51" i="31"/>
  <c r="J51" i="31"/>
  <c r="G51" i="31"/>
  <c r="M51" i="31"/>
  <c r="J35" i="31"/>
  <c r="L35" i="31"/>
  <c r="M35" i="31"/>
  <c r="N35" i="31"/>
  <c r="G35" i="31"/>
  <c r="H35" i="31"/>
  <c r="I35" i="31"/>
  <c r="K35" i="31"/>
  <c r="O35" i="31"/>
  <c r="G19" i="31"/>
  <c r="H19" i="31"/>
  <c r="M19" i="31"/>
  <c r="N19" i="31"/>
  <c r="O19" i="31"/>
  <c r="J19" i="31"/>
  <c r="K19" i="31"/>
  <c r="L19" i="31"/>
  <c r="I19" i="31"/>
  <c r="G3" i="31"/>
  <c r="H3" i="31"/>
  <c r="I3" i="31"/>
  <c r="J3" i="31"/>
  <c r="K3" i="31"/>
  <c r="L3" i="31"/>
  <c r="M3" i="31"/>
  <c r="N3" i="31"/>
  <c r="O3" i="31"/>
  <c r="G43" i="4"/>
  <c r="J43" i="4"/>
  <c r="H43" i="4"/>
  <c r="I43" i="4"/>
  <c r="H38" i="4"/>
  <c r="J38" i="4"/>
  <c r="I38" i="4"/>
  <c r="G38" i="4"/>
  <c r="H54" i="4"/>
  <c r="G54" i="4"/>
  <c r="I54" i="4"/>
  <c r="J54" i="4"/>
  <c r="H48" i="4"/>
  <c r="I48" i="4"/>
  <c r="J48" i="4"/>
  <c r="G48" i="4"/>
  <c r="G55" i="4"/>
  <c r="I55" i="4"/>
  <c r="H55" i="4"/>
  <c r="J55" i="4"/>
  <c r="H53" i="4"/>
  <c r="I53" i="4"/>
  <c r="J53" i="4"/>
  <c r="G53" i="4"/>
  <c r="J40" i="4"/>
  <c r="I40" i="4"/>
  <c r="G40" i="4"/>
  <c r="H40" i="4"/>
  <c r="H49" i="4"/>
  <c r="I49" i="4"/>
  <c r="J49" i="4"/>
  <c r="G49" i="4"/>
  <c r="I41" i="4"/>
  <c r="H41" i="4"/>
  <c r="J41" i="4"/>
  <c r="G41" i="4"/>
  <c r="G37" i="4"/>
  <c r="I37" i="4"/>
  <c r="H37" i="4"/>
  <c r="J37" i="4"/>
  <c r="I52" i="4"/>
  <c r="G52" i="4"/>
  <c r="H52" i="4"/>
  <c r="J52" i="4"/>
  <c r="H44" i="4"/>
  <c r="I44" i="4"/>
  <c r="J44" i="4"/>
  <c r="G44" i="4"/>
  <c r="G46" i="4"/>
  <c r="H46" i="4"/>
  <c r="I46" i="4"/>
  <c r="J46" i="4"/>
  <c r="J50" i="4"/>
  <c r="I50" i="4"/>
  <c r="H50" i="4"/>
  <c r="G50" i="4"/>
  <c r="I42" i="4"/>
  <c r="G42" i="4"/>
  <c r="J42" i="4"/>
  <c r="H42" i="4"/>
  <c r="H39" i="4"/>
  <c r="I39" i="4"/>
  <c r="J39" i="4"/>
  <c r="G39" i="4"/>
  <c r="G51" i="4"/>
  <c r="J51" i="4"/>
  <c r="H51" i="4"/>
  <c r="I51" i="4"/>
  <c r="G45" i="4"/>
  <c r="H45" i="4"/>
  <c r="I45" i="4"/>
  <c r="J45" i="4"/>
  <c r="G35" i="4"/>
  <c r="I35" i="4"/>
  <c r="H35" i="4"/>
  <c r="J35" i="4"/>
  <c r="G36" i="4"/>
  <c r="I36" i="4"/>
  <c r="H36" i="4"/>
  <c r="J36" i="4"/>
  <c r="I47" i="4"/>
  <c r="H47" i="4"/>
  <c r="G47" i="4"/>
  <c r="J47" i="4"/>
  <c r="AA3" i="31" l="1" a="1"/>
  <c r="M102" i="31"/>
  <c r="G102" i="31"/>
  <c r="I102" i="31"/>
  <c r="H102" i="31"/>
  <c r="J102" i="31"/>
  <c r="K102" i="31"/>
  <c r="L102" i="31"/>
  <c r="N102" i="31"/>
  <c r="O102" i="31"/>
  <c r="L3" i="3"/>
  <c r="M3" i="3"/>
  <c r="L4" i="3"/>
  <c r="M4" i="3"/>
  <c r="L5" i="3"/>
  <c r="M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R20" i="3"/>
  <c r="L21" i="3"/>
  <c r="M21" i="3"/>
  <c r="L22" i="3"/>
  <c r="M22" i="3"/>
  <c r="L23" i="3"/>
  <c r="M23" i="3"/>
  <c r="L24" i="3"/>
  <c r="M24" i="3"/>
  <c r="L25" i="3"/>
  <c r="M25" i="3"/>
  <c r="R25" i="3"/>
  <c r="L26" i="3"/>
  <c r="M26" i="3"/>
  <c r="R26" i="3"/>
  <c r="AG3" i="31" l="1"/>
  <c r="AG4" i="31"/>
  <c r="AH5" i="31"/>
  <c r="AI6" i="31"/>
  <c r="AJ7" i="31"/>
  <c r="AH3" i="31"/>
  <c r="AH4" i="31"/>
  <c r="AI5" i="31"/>
  <c r="AJ6" i="31"/>
  <c r="AJ3" i="31"/>
  <c r="AJ4" i="31"/>
  <c r="AA11" i="31"/>
  <c r="AB12" i="31"/>
  <c r="AA9" i="31"/>
  <c r="AB10" i="31"/>
  <c r="AC11" i="31"/>
  <c r="AD12" i="31"/>
  <c r="AA8" i="31"/>
  <c r="AB9" i="31"/>
  <c r="AC10" i="31"/>
  <c r="AD11" i="31"/>
  <c r="AE12" i="31"/>
  <c r="AA7" i="31"/>
  <c r="AB8" i="31"/>
  <c r="AC9" i="31"/>
  <c r="AD10" i="31"/>
  <c r="AE11" i="31"/>
  <c r="AF12" i="31"/>
  <c r="AA6" i="31"/>
  <c r="AB7" i="31"/>
  <c r="AC8" i="31"/>
  <c r="AD9" i="31"/>
  <c r="AE10" i="31"/>
  <c r="AF11" i="31"/>
  <c r="AG12" i="31"/>
  <c r="AA3" i="31"/>
  <c r="AA4" i="31"/>
  <c r="AB5" i="31"/>
  <c r="AC6" i="31"/>
  <c r="AD7" i="31"/>
  <c r="AE8" i="31"/>
  <c r="AF9" i="31"/>
  <c r="AG10" i="31"/>
  <c r="AH11" i="31"/>
  <c r="AI12" i="31"/>
  <c r="AB3" i="31"/>
  <c r="AB4" i="31"/>
  <c r="AC5" i="31"/>
  <c r="AD6" i="31"/>
  <c r="AE7" i="31"/>
  <c r="AF8" i="31"/>
  <c r="AG9" i="31"/>
  <c r="AH10" i="31"/>
  <c r="AI11" i="31"/>
  <c r="AJ12" i="31"/>
  <c r="AC3" i="31"/>
  <c r="AD3" i="31"/>
  <c r="AD4" i="31"/>
  <c r="AE5" i="31"/>
  <c r="AF6" i="31"/>
  <c r="AG7" i="31"/>
  <c r="AH8" i="31"/>
  <c r="AI9" i="31"/>
  <c r="AJ10" i="31"/>
  <c r="AF3" i="31"/>
  <c r="AF4" i="31"/>
  <c r="AG5" i="31"/>
  <c r="AH6" i="31"/>
  <c r="AI7" i="31"/>
  <c r="AJ8" i="31"/>
  <c r="AC4" i="31"/>
  <c r="AD5" i="31"/>
  <c r="AG6" i="31"/>
  <c r="AI4" i="31"/>
  <c r="AJ5" i="31"/>
  <c r="AE3" i="31"/>
  <c r="AI3" i="31"/>
  <c r="AA10" i="31"/>
  <c r="AB11" i="31"/>
  <c r="AF10" i="31"/>
  <c r="AG11" i="31"/>
  <c r="AA12" i="31"/>
  <c r="AE9" i="31"/>
  <c r="AI10" i="31"/>
  <c r="AJ11" i="31"/>
  <c r="AC12" i="31"/>
  <c r="AD8" i="31"/>
  <c r="AH9" i="31"/>
  <c r="AH12" i="31"/>
  <c r="AC7" i="31"/>
  <c r="AG8" i="31"/>
  <c r="AJ9" i="31"/>
  <c r="AB6" i="31"/>
  <c r="AF7" i="31"/>
  <c r="AI8" i="31"/>
  <c r="AE4" i="31"/>
  <c r="AA5" i="31"/>
  <c r="AF5" i="31"/>
  <c r="AE6" i="31"/>
  <c r="AH7" i="31"/>
  <c r="N26" i="3"/>
  <c r="N7" i="3"/>
  <c r="N21" i="3"/>
  <c r="N24" i="3"/>
  <c r="H19" i="3"/>
  <c r="H20" i="3" s="1"/>
  <c r="H21" i="3" s="1"/>
  <c r="H22" i="3" s="1"/>
  <c r="N15" i="3"/>
  <c r="H3" i="3"/>
  <c r="H4" i="3" s="1"/>
  <c r="H5" i="3" s="1"/>
  <c r="H6" i="3" s="1"/>
  <c r="N4" i="3"/>
  <c r="H11" i="3"/>
  <c r="H12" i="3" s="1"/>
  <c r="H13" i="3" s="1"/>
  <c r="H14" i="3" s="1"/>
  <c r="N20" i="3"/>
  <c r="N6" i="3"/>
  <c r="N10" i="3"/>
  <c r="N5" i="3"/>
  <c r="H15" i="3"/>
  <c r="H16" i="3" s="1"/>
  <c r="H17" i="3" s="1"/>
  <c r="H18" i="3" s="1"/>
  <c r="N9" i="3"/>
  <c r="H23" i="3"/>
  <c r="H24" i="3" s="1"/>
  <c r="H25" i="3" s="1"/>
  <c r="H26" i="3" s="1"/>
  <c r="N19" i="3"/>
  <c r="N14" i="3"/>
  <c r="N11" i="3"/>
  <c r="N16" i="3"/>
  <c r="N8" i="3"/>
  <c r="N3" i="3"/>
  <c r="N18" i="3"/>
  <c r="N25" i="3"/>
  <c r="N23" i="3"/>
  <c r="N13" i="3"/>
  <c r="N17" i="3"/>
  <c r="H7" i="3"/>
  <c r="H8" i="3" s="1"/>
  <c r="H9" i="3" s="1"/>
  <c r="H10" i="3" s="1"/>
  <c r="N22" i="3"/>
  <c r="N12" i="3"/>
  <c r="AA14" i="31" a="1"/>
  <c r="AF15" i="31" l="1"/>
  <c r="AF18" i="31"/>
  <c r="AD14" i="31"/>
  <c r="AI20" i="31"/>
  <c r="AH22" i="31"/>
  <c r="AB21" i="31"/>
  <c r="AB15" i="31"/>
  <c r="AB17" i="31"/>
  <c r="AA17" i="31"/>
  <c r="AJ15" i="31"/>
  <c r="AE22" i="31"/>
  <c r="AA18" i="31"/>
  <c r="AC15" i="31"/>
  <c r="AH18" i="31"/>
  <c r="AB14" i="31"/>
  <c r="AF17" i="31"/>
  <c r="AF19" i="31"/>
  <c r="AI22" i="31"/>
  <c r="AC21" i="31"/>
  <c r="AH21" i="31"/>
  <c r="AB22" i="31"/>
  <c r="AJ16" i="31"/>
  <c r="AB20" i="31"/>
  <c r="AE23" i="31"/>
  <c r="AG14" i="31"/>
  <c r="AB16" i="31"/>
  <c r="AG23" i="31"/>
  <c r="AA21" i="31"/>
  <c r="AA15" i="31"/>
  <c r="AE16" i="31"/>
  <c r="AA20" i="31"/>
  <c r="AH16" i="31"/>
  <c r="AC14" i="31"/>
  <c r="AD16" i="31"/>
  <c r="AC16" i="31"/>
  <c r="AE14" i="31"/>
  <c r="AG20" i="31"/>
  <c r="AC22" i="31"/>
  <c r="AC19" i="31"/>
  <c r="AD20" i="31"/>
  <c r="AH15" i="31"/>
  <c r="AB19" i="31"/>
  <c r="AJ14" i="31"/>
  <c r="AF16" i="31"/>
  <c r="AH19" i="31"/>
  <c r="AE15" i="31"/>
  <c r="AF23" i="31"/>
  <c r="AD22" i="31"/>
  <c r="AI19" i="31"/>
  <c r="AD18" i="31"/>
  <c r="AA14" i="31"/>
  <c r="AJ23" i="31"/>
  <c r="AJ19" i="31"/>
  <c r="AB23" i="31"/>
  <c r="AG15" i="31"/>
  <c r="AE21" i="31"/>
  <c r="AC23" i="31"/>
  <c r="AH23" i="31"/>
  <c r="AC20" i="31"/>
  <c r="AG21" i="31"/>
  <c r="AD15" i="31"/>
  <c r="AG18" i="31"/>
  <c r="AJ17" i="31"/>
  <c r="AI17" i="31"/>
  <c r="AE19" i="31"/>
  <c r="AJ20" i="31"/>
  <c r="AI16" i="31"/>
  <c r="AG22" i="31"/>
  <c r="AJ21" i="31"/>
  <c r="AD17" i="31"/>
  <c r="AH20" i="31"/>
  <c r="AD21" i="31"/>
  <c r="AJ22" i="31"/>
  <c r="AC18" i="31"/>
  <c r="AJ18" i="31"/>
  <c r="AG16" i="31"/>
  <c r="AI15" i="31"/>
  <c r="AA19" i="31"/>
  <c r="AF21" i="31"/>
  <c r="AE18" i="31"/>
  <c r="AI18" i="31"/>
  <c r="AA22" i="31"/>
  <c r="AA23" i="31"/>
  <c r="AF20" i="31"/>
  <c r="AC17" i="31"/>
  <c r="AD23" i="31"/>
  <c r="AI21" i="31"/>
  <c r="AH14" i="31"/>
  <c r="AF14" i="31"/>
  <c r="AE17" i="31"/>
  <c r="AH17" i="31"/>
  <c r="AD19" i="31"/>
  <c r="AB18" i="31"/>
  <c r="AE20" i="31"/>
  <c r="AI14" i="31"/>
  <c r="AA16" i="31"/>
  <c r="AG19" i="31"/>
  <c r="AG17" i="31"/>
  <c r="AI23" i="31"/>
  <c r="AF22" i="31"/>
  <c r="U3" i="3" a="1"/>
  <c r="O3" i="3" a="1"/>
  <c r="P3" i="31" l="1" a="1"/>
  <c r="U32" i="31" s="1"/>
  <c r="Q4" i="3"/>
  <c r="R7" i="3"/>
  <c r="R4" i="3"/>
  <c r="S7" i="3"/>
  <c r="S4" i="3"/>
  <c r="T7" i="3"/>
  <c r="O8" i="3"/>
  <c r="T4" i="3"/>
  <c r="O5" i="3"/>
  <c r="P8" i="3"/>
  <c r="P5" i="3"/>
  <c r="Q8" i="3"/>
  <c r="Q5" i="3"/>
  <c r="R8" i="3"/>
  <c r="P7" i="3"/>
  <c r="R5" i="3"/>
  <c r="S8" i="3"/>
  <c r="S5" i="3"/>
  <c r="T8" i="3"/>
  <c r="P4" i="3"/>
  <c r="O3" i="3"/>
  <c r="T5" i="3"/>
  <c r="O6" i="3"/>
  <c r="P3" i="3"/>
  <c r="P6" i="3"/>
  <c r="Q3" i="3"/>
  <c r="Q6" i="3"/>
  <c r="R3" i="3"/>
  <c r="R6" i="3"/>
  <c r="Q7" i="3"/>
  <c r="S3" i="3"/>
  <c r="S6" i="3"/>
  <c r="T3" i="3"/>
  <c r="T6" i="3"/>
  <c r="O7" i="3"/>
  <c r="O4" i="3"/>
  <c r="U7" i="3"/>
  <c r="U6" i="3"/>
  <c r="U4" i="3"/>
  <c r="U8" i="3"/>
  <c r="U5" i="3"/>
  <c r="U3" i="3"/>
  <c r="P52" i="31" l="1"/>
  <c r="P9" i="31"/>
  <c r="X46" i="31"/>
  <c r="W79" i="31"/>
  <c r="T91" i="31"/>
  <c r="Y70" i="31"/>
  <c r="P42" i="31"/>
  <c r="X94" i="31"/>
  <c r="W86" i="31"/>
  <c r="V35" i="31"/>
  <c r="V5" i="31"/>
  <c r="Y72" i="31"/>
  <c r="S47" i="31"/>
  <c r="X28" i="31"/>
  <c r="S61" i="31"/>
  <c r="Y88" i="31"/>
  <c r="T68" i="31"/>
  <c r="Q38" i="31"/>
  <c r="X85" i="31"/>
  <c r="W89" i="31"/>
  <c r="T55" i="31"/>
  <c r="P8" i="31"/>
  <c r="X83" i="31"/>
  <c r="P71" i="31"/>
  <c r="W48" i="31"/>
  <c r="P19" i="31"/>
  <c r="T96" i="31"/>
  <c r="R88" i="31"/>
  <c r="Q22" i="31"/>
  <c r="R25" i="31"/>
  <c r="T81" i="31"/>
  <c r="X82" i="31"/>
  <c r="X30" i="31"/>
  <c r="V11" i="31"/>
  <c r="P92" i="31"/>
  <c r="V54" i="31"/>
  <c r="R44" i="31"/>
  <c r="R11" i="31"/>
  <c r="P67" i="31"/>
  <c r="W96" i="31"/>
  <c r="T21" i="31"/>
  <c r="P13" i="31"/>
  <c r="W99" i="31"/>
  <c r="R64" i="31"/>
  <c r="V20" i="31"/>
  <c r="V4" i="31"/>
  <c r="T100" i="31"/>
  <c r="Q64" i="31"/>
  <c r="S16" i="31"/>
  <c r="V7" i="31"/>
  <c r="U90" i="31"/>
  <c r="R75" i="31"/>
  <c r="X24" i="31"/>
  <c r="T14" i="31"/>
  <c r="S90" i="31"/>
  <c r="W47" i="31"/>
  <c r="S20" i="31"/>
  <c r="Y21" i="31"/>
  <c r="Q58" i="31"/>
  <c r="Q53" i="31"/>
  <c r="S35" i="31"/>
  <c r="P4" i="31"/>
  <c r="U98" i="31"/>
  <c r="P29" i="31"/>
  <c r="V43" i="31"/>
  <c r="P89" i="31"/>
  <c r="T71" i="31"/>
  <c r="X38" i="31"/>
  <c r="U12" i="31"/>
  <c r="P37" i="31"/>
  <c r="X84" i="31"/>
  <c r="R83" i="31"/>
  <c r="R82" i="31"/>
  <c r="T66" i="31"/>
  <c r="R80" i="31"/>
  <c r="Q96" i="31"/>
  <c r="W93" i="31"/>
  <c r="X98" i="31"/>
  <c r="T47" i="31"/>
  <c r="U45" i="31"/>
  <c r="U31" i="31"/>
  <c r="R90" i="31"/>
  <c r="T70" i="31"/>
  <c r="U39" i="31"/>
  <c r="U86" i="31"/>
  <c r="P54" i="31"/>
  <c r="X31" i="31"/>
  <c r="S9" i="31"/>
  <c r="W85" i="31"/>
  <c r="X73" i="31"/>
  <c r="S46" i="31"/>
  <c r="T12" i="31"/>
  <c r="W80" i="31"/>
  <c r="W60" i="31"/>
  <c r="Y40" i="31"/>
  <c r="W33" i="31"/>
  <c r="R74" i="31"/>
  <c r="Y87" i="31"/>
  <c r="U71" i="31"/>
  <c r="X42" i="31"/>
  <c r="W95" i="31"/>
  <c r="T48" i="31"/>
  <c r="P45" i="31"/>
  <c r="S12" i="31"/>
  <c r="W68" i="31"/>
  <c r="P97" i="31"/>
  <c r="Q26" i="31"/>
  <c r="Y3" i="31"/>
  <c r="R100" i="31"/>
  <c r="W70" i="31"/>
  <c r="S21" i="31"/>
  <c r="W5" i="31"/>
  <c r="S64" i="31"/>
  <c r="Y69" i="31"/>
  <c r="X17" i="31"/>
  <c r="W8" i="31"/>
  <c r="P91" i="31"/>
  <c r="R77" i="31"/>
  <c r="V29" i="31"/>
  <c r="T15" i="31"/>
  <c r="Y93" i="31"/>
  <c r="P48" i="31"/>
  <c r="W24" i="31"/>
  <c r="W25" i="31"/>
  <c r="V60" i="31"/>
  <c r="T27" i="31"/>
  <c r="V36" i="31"/>
  <c r="Q5" i="31"/>
  <c r="R60" i="31"/>
  <c r="P35" i="31"/>
  <c r="R8" i="31"/>
  <c r="V92" i="31"/>
  <c r="U72" i="31"/>
  <c r="V41" i="31"/>
  <c r="R13" i="31"/>
  <c r="X63" i="31"/>
  <c r="T93" i="31"/>
  <c r="W21" i="31"/>
  <c r="W23" i="31"/>
  <c r="Y41" i="31"/>
  <c r="P61" i="31"/>
  <c r="W71" i="31"/>
  <c r="U11" i="31"/>
  <c r="U10" i="31"/>
  <c r="R73" i="31"/>
  <c r="Y86" i="31"/>
  <c r="Y50" i="31"/>
  <c r="X22" i="31"/>
  <c r="U82" i="31"/>
  <c r="Q83" i="31"/>
  <c r="R40" i="31"/>
  <c r="W12" i="31"/>
  <c r="P74" i="31"/>
  <c r="S99" i="31"/>
  <c r="Q27" i="31"/>
  <c r="X4" i="31"/>
  <c r="P56" i="31"/>
  <c r="S71" i="31"/>
  <c r="P26" i="31"/>
  <c r="X6" i="31"/>
  <c r="U68" i="31"/>
  <c r="V70" i="31"/>
  <c r="Y18" i="31"/>
  <c r="X9" i="31"/>
  <c r="V94" i="31"/>
  <c r="R79" i="31"/>
  <c r="Y32" i="31"/>
  <c r="U16" i="31"/>
  <c r="U94" i="31"/>
  <c r="Y49" i="31"/>
  <c r="Y28" i="31"/>
  <c r="R26" i="31"/>
  <c r="S62" i="31"/>
  <c r="Q39" i="31"/>
  <c r="R38" i="31"/>
  <c r="R6" i="31"/>
  <c r="P65" i="31"/>
  <c r="W36" i="31"/>
  <c r="W9" i="31"/>
  <c r="R93" i="31"/>
  <c r="W87" i="31"/>
  <c r="U46" i="31"/>
  <c r="R17" i="31"/>
  <c r="S66" i="31"/>
  <c r="Y66" i="31"/>
  <c r="Q31" i="31"/>
  <c r="S24" i="31"/>
  <c r="U92" i="31"/>
  <c r="Y85" i="31"/>
  <c r="U57" i="31"/>
  <c r="T28" i="31"/>
  <c r="X62" i="31"/>
  <c r="X40" i="31"/>
  <c r="Q81" i="31"/>
  <c r="Q86" i="31"/>
  <c r="U69" i="31"/>
  <c r="Q10" i="31"/>
  <c r="S63" i="31"/>
  <c r="P21" i="31"/>
  <c r="W17" i="31"/>
  <c r="Q17" i="31"/>
  <c r="V46" i="31"/>
  <c r="R32" i="31"/>
  <c r="P49" i="31"/>
  <c r="R18" i="31"/>
  <c r="T86" i="31"/>
  <c r="W73" i="31"/>
  <c r="Q51" i="31"/>
  <c r="U23" i="31"/>
  <c r="Y81" i="31"/>
  <c r="V61" i="31"/>
  <c r="V42" i="31"/>
  <c r="P36" i="31"/>
  <c r="S75" i="31"/>
  <c r="U52" i="31"/>
  <c r="U73" i="31"/>
  <c r="T44" i="31"/>
  <c r="R96" i="31"/>
  <c r="S52" i="31"/>
  <c r="Y47" i="31"/>
  <c r="T13" i="31"/>
  <c r="U64" i="31"/>
  <c r="Y74" i="31"/>
  <c r="P27" i="31"/>
  <c r="Y7" i="31"/>
  <c r="X69" i="31"/>
  <c r="Q71" i="31"/>
  <c r="U20" i="31"/>
  <c r="Y10" i="31"/>
  <c r="Y58" i="31"/>
  <c r="R81" i="31"/>
  <c r="R34" i="31"/>
  <c r="V17" i="31"/>
  <c r="P95" i="31"/>
  <c r="Q50" i="31"/>
  <c r="U29" i="31"/>
  <c r="X27" i="31"/>
  <c r="S65" i="31"/>
  <c r="R39" i="31"/>
  <c r="V39" i="31"/>
  <c r="S7" i="31"/>
  <c r="R70" i="31"/>
  <c r="T35" i="31"/>
  <c r="V12" i="31"/>
  <c r="X96" i="31"/>
  <c r="Y92" i="31"/>
  <c r="S49" i="31"/>
  <c r="S18" i="31"/>
  <c r="R72" i="31"/>
  <c r="X72" i="31"/>
  <c r="R36" i="31"/>
  <c r="Y25" i="31"/>
  <c r="X100" i="31"/>
  <c r="V86" i="31"/>
  <c r="Y59" i="31"/>
  <c r="W31" i="31"/>
  <c r="S85" i="31"/>
  <c r="W50" i="31"/>
  <c r="Q46" i="31"/>
  <c r="W22" i="31"/>
  <c r="R63" i="31"/>
  <c r="P70" i="31"/>
  <c r="S80" i="31"/>
  <c r="T16" i="31"/>
  <c r="V85" i="31"/>
  <c r="V63" i="31"/>
  <c r="P44" i="31"/>
  <c r="U8" i="31"/>
  <c r="X48" i="31"/>
  <c r="V100" i="31"/>
  <c r="S69" i="31"/>
  <c r="V88" i="31"/>
  <c r="X88" i="31"/>
  <c r="V49" i="31"/>
  <c r="S29" i="31"/>
  <c r="T87" i="31"/>
  <c r="W74" i="31"/>
  <c r="Y54" i="31"/>
  <c r="P24" i="31"/>
  <c r="W82" i="31"/>
  <c r="R62" i="31"/>
  <c r="U43" i="31"/>
  <c r="U37" i="31"/>
  <c r="Q101" i="31"/>
  <c r="P51" i="31"/>
  <c r="R42" i="31"/>
  <c r="U27" i="31"/>
  <c r="T83" i="31"/>
  <c r="T85" i="31"/>
  <c r="R43" i="31"/>
  <c r="P15" i="31"/>
  <c r="P75" i="31"/>
  <c r="W101" i="31"/>
  <c r="Y29" i="31"/>
  <c r="Y5" i="31"/>
  <c r="P78" i="31"/>
  <c r="X74" i="31"/>
  <c r="R21" i="31"/>
  <c r="V14" i="31"/>
  <c r="P64" i="31"/>
  <c r="X34" i="31"/>
  <c r="U35" i="31"/>
  <c r="W18" i="31"/>
  <c r="V98" i="31"/>
  <c r="W52" i="31"/>
  <c r="V32" i="31"/>
  <c r="Q30" i="31"/>
  <c r="Q69" i="31"/>
  <c r="U47" i="31"/>
  <c r="Q40" i="31"/>
  <c r="T8" i="31"/>
  <c r="V71" i="31"/>
  <c r="X41" i="31"/>
  <c r="U13" i="31"/>
  <c r="S97" i="31"/>
  <c r="P94" i="31"/>
  <c r="T51" i="31"/>
  <c r="T19" i="31"/>
  <c r="V73" i="31"/>
  <c r="W88" i="31"/>
  <c r="W37" i="31"/>
  <c r="V28" i="31"/>
  <c r="W63" i="31"/>
  <c r="V87" i="31"/>
  <c r="Q15" i="31"/>
  <c r="Q32" i="31"/>
  <c r="S86" i="31"/>
  <c r="S56" i="31"/>
  <c r="V48" i="31"/>
  <c r="T23" i="31"/>
  <c r="P63" i="31"/>
  <c r="V51" i="31"/>
  <c r="T22" i="31"/>
  <c r="V33" i="31"/>
  <c r="S15" i="31"/>
  <c r="T9" i="31"/>
  <c r="X26" i="31"/>
  <c r="U36" i="31"/>
  <c r="S41" i="31"/>
  <c r="V64" i="31"/>
  <c r="U14" i="31"/>
  <c r="X89" i="31"/>
  <c r="X66" i="31"/>
  <c r="W84" i="31"/>
  <c r="W26" i="31"/>
  <c r="Q16" i="31"/>
  <c r="X93" i="31"/>
  <c r="T72" i="31"/>
  <c r="P40" i="31"/>
  <c r="V96" i="31"/>
  <c r="U50" i="31"/>
  <c r="W44" i="31"/>
  <c r="P11" i="31"/>
  <c r="R97" i="31"/>
  <c r="X52" i="31"/>
  <c r="S43" i="31"/>
  <c r="P28" i="31"/>
  <c r="T76" i="31"/>
  <c r="Y53" i="31"/>
  <c r="U75" i="31"/>
  <c r="P46" i="31"/>
  <c r="X99" i="31"/>
  <c r="V53" i="31"/>
  <c r="R48" i="31"/>
  <c r="P17" i="31"/>
  <c r="V68" i="31"/>
  <c r="V75" i="31"/>
  <c r="X29" i="31"/>
  <c r="Y14" i="31"/>
  <c r="S68" i="31"/>
  <c r="W39" i="31"/>
  <c r="X36" i="31"/>
  <c r="X19" i="31"/>
  <c r="Q99" i="31"/>
  <c r="U53" i="31"/>
  <c r="Q34" i="31"/>
  <c r="T31" i="31"/>
  <c r="U70" i="31"/>
  <c r="X49" i="31"/>
  <c r="Q42" i="31"/>
  <c r="U9" i="31"/>
  <c r="S98" i="31"/>
  <c r="W46" i="31"/>
  <c r="P14" i="31"/>
  <c r="Y100" i="31"/>
  <c r="V97" i="31"/>
  <c r="Q52" i="31"/>
  <c r="Q20" i="31"/>
  <c r="V74" i="31"/>
  <c r="S89" i="31"/>
  <c r="U38" i="31"/>
  <c r="Q29" i="31"/>
  <c r="Q66" i="31"/>
  <c r="U88" i="31"/>
  <c r="U21" i="31"/>
  <c r="Y33" i="31"/>
  <c r="R87" i="31"/>
  <c r="X57" i="31"/>
  <c r="T26" i="31"/>
  <c r="T25" i="31"/>
  <c r="P66" i="31"/>
  <c r="R57" i="31"/>
  <c r="U28" i="31"/>
  <c r="Y34" i="31"/>
  <c r="V80" i="31"/>
  <c r="Q60" i="31"/>
  <c r="U83" i="31"/>
  <c r="Y52" i="31"/>
  <c r="V13" i="31"/>
  <c r="Y39" i="31"/>
  <c r="V24" i="31"/>
  <c r="Y22" i="31"/>
  <c r="R53" i="31"/>
  <c r="U6" i="31"/>
  <c r="Y12" i="31"/>
  <c r="Q93" i="31"/>
  <c r="S72" i="31"/>
  <c r="T40" i="31"/>
  <c r="U17" i="31"/>
  <c r="T88" i="31"/>
  <c r="Q70" i="31"/>
  <c r="X37" i="31"/>
  <c r="Y11" i="31"/>
  <c r="S87" i="31"/>
  <c r="Y46" i="31"/>
  <c r="U44" i="31"/>
  <c r="Y30" i="31"/>
  <c r="V77" i="31"/>
  <c r="X54" i="31"/>
  <c r="U77" i="31"/>
  <c r="V47" i="31"/>
  <c r="R84" i="31"/>
  <c r="X87" i="31"/>
  <c r="S44" i="31"/>
  <c r="Y16" i="31"/>
  <c r="R76" i="31"/>
  <c r="P102" i="31"/>
  <c r="T30" i="31"/>
  <c r="P12" i="31"/>
  <c r="P80" i="31"/>
  <c r="T75" i="31"/>
  <c r="Y24" i="31"/>
  <c r="V15" i="31"/>
  <c r="X102" i="31"/>
  <c r="R54" i="31"/>
  <c r="P6" i="31"/>
  <c r="W32" i="31"/>
  <c r="X71" i="31"/>
  <c r="P50" i="31"/>
  <c r="W43" i="31"/>
  <c r="V10" i="31"/>
  <c r="T102" i="31"/>
  <c r="R47" i="31"/>
  <c r="P16" i="31"/>
  <c r="T101" i="31"/>
  <c r="R98" i="31"/>
  <c r="U55" i="31"/>
  <c r="X23" i="31"/>
  <c r="Y75" i="31"/>
  <c r="P90" i="31"/>
  <c r="U41" i="31"/>
  <c r="Y31" i="31"/>
  <c r="Y67" i="31"/>
  <c r="Q89" i="31"/>
  <c r="V26" i="31"/>
  <c r="R10" i="31"/>
  <c r="P88" i="31"/>
  <c r="Y60" i="31"/>
  <c r="S33" i="31"/>
  <c r="W27" i="31"/>
  <c r="X67" i="31"/>
  <c r="T58" i="31"/>
  <c r="W40" i="31"/>
  <c r="T37" i="31"/>
  <c r="V81" i="31"/>
  <c r="Y65" i="31"/>
  <c r="U85" i="31"/>
  <c r="T53" i="31"/>
  <c r="R92" i="31"/>
  <c r="P93" i="31"/>
  <c r="X53" i="31"/>
  <c r="U26" i="31"/>
  <c r="T80" i="31"/>
  <c r="U102" i="31"/>
  <c r="Y90" i="31"/>
  <c r="Y97" i="31"/>
  <c r="U80" i="31"/>
  <c r="Y17" i="31"/>
  <c r="V19" i="31"/>
  <c r="S36" i="31"/>
  <c r="S57" i="31"/>
  <c r="R89" i="31"/>
  <c r="R51" i="31"/>
  <c r="S19" i="31"/>
  <c r="W83" i="31"/>
  <c r="P58" i="31"/>
  <c r="U79" i="31"/>
  <c r="R49" i="31"/>
  <c r="Q85" i="31"/>
  <c r="Q88" i="31"/>
  <c r="Q45" i="31"/>
  <c r="V21" i="31"/>
  <c r="X51" i="31"/>
  <c r="W54" i="31"/>
  <c r="S50" i="31"/>
  <c r="Q18" i="31"/>
  <c r="Q76" i="31"/>
  <c r="P76" i="31"/>
  <c r="S30" i="31"/>
  <c r="Y15" i="31"/>
  <c r="W69" i="31"/>
  <c r="P43" i="31"/>
  <c r="T38" i="31"/>
  <c r="Y20" i="31"/>
  <c r="P99" i="31"/>
  <c r="Y51" i="31"/>
  <c r="S45" i="31"/>
  <c r="W11" i="31"/>
  <c r="S60" i="31"/>
  <c r="Q24" i="31"/>
  <c r="S17" i="31"/>
  <c r="Q102" i="31"/>
  <c r="X101" i="31"/>
  <c r="Y57" i="31"/>
  <c r="U24" i="31"/>
  <c r="Y76" i="31"/>
  <c r="V93" i="31"/>
  <c r="Y45" i="31"/>
  <c r="S32" i="31"/>
  <c r="Q72" i="31"/>
  <c r="X92" i="31"/>
  <c r="U33" i="31"/>
  <c r="T11" i="31"/>
  <c r="Y91" i="31"/>
  <c r="X61" i="31"/>
  <c r="Q37" i="31"/>
  <c r="S28" i="31"/>
  <c r="P72" i="31"/>
  <c r="V59" i="31"/>
  <c r="T42" i="31"/>
  <c r="U15" i="31"/>
  <c r="V82" i="31"/>
  <c r="V66" i="31"/>
  <c r="U87" i="31"/>
  <c r="W55" i="31"/>
  <c r="X95" i="31"/>
  <c r="S95" i="31"/>
  <c r="U54" i="31"/>
  <c r="S27" i="31"/>
  <c r="V67" i="31"/>
  <c r="U66" i="31"/>
  <c r="P57" i="31"/>
  <c r="R9" i="31"/>
  <c r="Y102" i="31"/>
  <c r="X79" i="31"/>
  <c r="R102" i="31"/>
  <c r="Q43" i="31"/>
  <c r="X20" i="31"/>
  <c r="S101" i="31"/>
  <c r="R59" i="31"/>
  <c r="S77" i="31"/>
  <c r="R33" i="31"/>
  <c r="Q13" i="31"/>
  <c r="P81" i="31"/>
  <c r="U78" i="31"/>
  <c r="W29" i="31"/>
  <c r="U3" i="31"/>
  <c r="Y89" i="31"/>
  <c r="U56" i="31"/>
  <c r="U7" i="31"/>
  <c r="R3" i="31"/>
  <c r="Q62" i="31"/>
  <c r="R27" i="31"/>
  <c r="T18" i="31"/>
  <c r="W102" i="31"/>
  <c r="S102" i="31"/>
  <c r="R58" i="31"/>
  <c r="W28" i="31"/>
  <c r="Y77" i="31"/>
  <c r="Y101" i="31"/>
  <c r="T46" i="31"/>
  <c r="Q35" i="31"/>
  <c r="T73" i="31"/>
  <c r="S93" i="31"/>
  <c r="S37" i="31"/>
  <c r="Q12" i="31"/>
  <c r="T92" i="31"/>
  <c r="U62" i="31"/>
  <c r="R41" i="31"/>
  <c r="V31" i="31"/>
  <c r="P73" i="31"/>
  <c r="U60" i="31"/>
  <c r="T43" i="31"/>
  <c r="V22" i="31"/>
  <c r="V83" i="31"/>
  <c r="S67" i="31"/>
  <c r="U89" i="31"/>
  <c r="W57" i="31"/>
  <c r="S96" i="31"/>
  <c r="W97" i="31"/>
  <c r="X56" i="31"/>
  <c r="V30" i="31"/>
  <c r="X68" i="31"/>
  <c r="Q67" i="31"/>
  <c r="S59" i="31"/>
  <c r="S10" i="31"/>
  <c r="S81" i="31"/>
  <c r="P53" i="31"/>
  <c r="W38" i="31"/>
  <c r="S23" i="31"/>
  <c r="T56" i="31"/>
  <c r="P23" i="31"/>
  <c r="W58" i="31"/>
  <c r="S31" i="31"/>
  <c r="W20" i="31"/>
  <c r="P34" i="31"/>
  <c r="Y84" i="31"/>
  <c r="S22" i="31"/>
  <c r="U49" i="31"/>
  <c r="V84" i="31"/>
  <c r="P47" i="31"/>
  <c r="V45" i="31"/>
  <c r="W15" i="31"/>
  <c r="T78" i="31"/>
  <c r="Y64" i="31"/>
  <c r="T54" i="31"/>
  <c r="P7" i="31"/>
  <c r="R78" i="31"/>
  <c r="S55" i="31"/>
  <c r="U34" i="31"/>
  <c r="P20" i="31"/>
  <c r="Q78" i="31"/>
  <c r="V78" i="31"/>
  <c r="Q33" i="31"/>
  <c r="P22" i="31"/>
  <c r="V90" i="31"/>
  <c r="Q44" i="31"/>
  <c r="X39" i="31"/>
  <c r="X25" i="31"/>
  <c r="X55" i="31"/>
  <c r="V52" i="31"/>
  <c r="Q7" i="31"/>
  <c r="X12" i="31"/>
  <c r="Y73" i="31"/>
  <c r="T60" i="31"/>
  <c r="R29" i="31"/>
  <c r="Y78" i="31"/>
  <c r="Q90" i="31"/>
  <c r="Y48" i="31"/>
  <c r="T36" i="31"/>
  <c r="U74" i="31"/>
  <c r="Y96" i="31"/>
  <c r="S38" i="31"/>
  <c r="P18" i="31"/>
  <c r="U96" i="31"/>
  <c r="Q63" i="31"/>
  <c r="W42" i="31"/>
  <c r="P32" i="31"/>
  <c r="S74" i="31"/>
  <c r="Q61" i="31"/>
  <c r="V44" i="31"/>
  <c r="R23" i="31"/>
  <c r="S84" i="31"/>
  <c r="Q68" i="31"/>
  <c r="U91" i="31"/>
  <c r="W59" i="31"/>
  <c r="Y99" i="31"/>
  <c r="P98" i="31"/>
  <c r="Q57" i="31"/>
  <c r="P31" i="31"/>
  <c r="Q74" i="31"/>
  <c r="P68" i="31"/>
  <c r="T61" i="31"/>
  <c r="P3" i="31"/>
  <c r="T82" i="31"/>
  <c r="S54" i="31"/>
  <c r="V40" i="31"/>
  <c r="T24" i="31"/>
  <c r="S82" i="31"/>
  <c r="U84" i="31"/>
  <c r="U40" i="31"/>
  <c r="Q28" i="31"/>
  <c r="V55" i="31"/>
  <c r="Y23" i="31"/>
  <c r="X16" i="31"/>
  <c r="V38" i="31"/>
  <c r="X78" i="31"/>
  <c r="V25" i="31"/>
  <c r="W3" i="31"/>
  <c r="T52" i="31"/>
  <c r="X10" i="31"/>
  <c r="R55" i="31"/>
  <c r="R31" i="31"/>
  <c r="S79" i="31"/>
  <c r="W49" i="31"/>
  <c r="X35" i="31"/>
  <c r="Q21" i="31"/>
  <c r="Q79" i="31"/>
  <c r="P79" i="31"/>
  <c r="T34" i="31"/>
  <c r="Q23" i="31"/>
  <c r="P82" i="31"/>
  <c r="W81" i="31"/>
  <c r="P30" i="31"/>
  <c r="T4" i="31"/>
  <c r="Q95" i="31"/>
  <c r="X58" i="31"/>
  <c r="X8" i="31"/>
  <c r="Q4" i="31"/>
  <c r="Q65" i="31"/>
  <c r="Y35" i="31"/>
  <c r="U19" i="31"/>
  <c r="Y80" i="31"/>
  <c r="R94" i="31"/>
  <c r="Q49" i="31"/>
  <c r="Y37" i="31"/>
  <c r="X75" i="31"/>
  <c r="T97" i="31"/>
  <c r="T41" i="31"/>
  <c r="Q19" i="31"/>
  <c r="Q97" i="31"/>
  <c r="V57" i="31"/>
  <c r="X43" i="31"/>
  <c r="X33" i="31"/>
  <c r="W75" i="31"/>
  <c r="P62" i="31"/>
  <c r="T45" i="31"/>
  <c r="S25" i="31"/>
  <c r="R85" i="31"/>
  <c r="W72" i="31"/>
  <c r="U93" i="31"/>
  <c r="S3" i="31"/>
  <c r="U100" i="31"/>
  <c r="S100" i="31"/>
  <c r="T59" i="31"/>
  <c r="T33" i="31"/>
  <c r="Q75" i="31"/>
  <c r="V72" i="31"/>
  <c r="T63" i="31"/>
  <c r="P5" i="31"/>
  <c r="S83" i="31"/>
  <c r="Y55" i="31"/>
  <c r="Q41" i="31"/>
  <c r="P10" i="31"/>
  <c r="P83" i="31"/>
  <c r="X86" i="31"/>
  <c r="P41" i="31"/>
  <c r="T29" i="31"/>
  <c r="T95" i="31"/>
  <c r="P87" i="31"/>
  <c r="Y36" i="31"/>
  <c r="W6" i="31"/>
  <c r="T7" i="31"/>
  <c r="X80" i="31"/>
  <c r="U101" i="31"/>
  <c r="W65" i="31"/>
  <c r="V58" i="31"/>
  <c r="Y6" i="31"/>
  <c r="T74" i="31"/>
  <c r="R65" i="31"/>
  <c r="T90" i="31"/>
  <c r="R19" i="31"/>
  <c r="U51" i="31"/>
  <c r="V79" i="31"/>
  <c r="P59" i="31"/>
  <c r="U81" i="31"/>
  <c r="X50" i="31"/>
  <c r="Q80" i="31"/>
  <c r="X81" i="31"/>
  <c r="W35" i="31"/>
  <c r="R24" i="31"/>
  <c r="W90" i="31"/>
  <c r="Q82" i="31"/>
  <c r="P33" i="31"/>
  <c r="V3" i="31"/>
  <c r="Q91" i="31"/>
  <c r="X47" i="31"/>
  <c r="S40" i="31"/>
  <c r="S26" i="31"/>
  <c r="S58" i="31"/>
  <c r="S53" i="31"/>
  <c r="V8" i="31"/>
  <c r="Y13" i="31"/>
  <c r="Q94" i="31"/>
  <c r="T62" i="31"/>
  <c r="T32" i="31"/>
  <c r="X76" i="31"/>
  <c r="Q98" i="31"/>
  <c r="Y42" i="31"/>
  <c r="Q9" i="31"/>
  <c r="W100" i="31"/>
  <c r="Y63" i="31"/>
  <c r="X44" i="31"/>
  <c r="Q36" i="31"/>
  <c r="U76" i="31"/>
  <c r="W41" i="31"/>
  <c r="U48" i="31"/>
  <c r="Y26" i="31"/>
  <c r="R86" i="31"/>
  <c r="S73" i="31"/>
  <c r="U95" i="31"/>
  <c r="R15" i="31"/>
  <c r="P101" i="31"/>
  <c r="V102" i="31"/>
  <c r="U61" i="31"/>
  <c r="W34" i="31"/>
  <c r="S76" i="31"/>
  <c r="Q73" i="31"/>
  <c r="T65" i="31"/>
  <c r="Q6" i="31"/>
  <c r="Q84" i="31"/>
  <c r="W64" i="31"/>
  <c r="V23" i="31"/>
  <c r="Q11" i="31"/>
  <c r="P84" i="31"/>
  <c r="Q87" i="31"/>
  <c r="U42" i="31"/>
  <c r="W30" i="31"/>
  <c r="P96" i="31"/>
  <c r="T49" i="31"/>
  <c r="S5" i="31"/>
  <c r="X7" i="31"/>
  <c r="T99" i="31"/>
  <c r="P55" i="31"/>
  <c r="Q47" i="31"/>
  <c r="X32" i="31"/>
  <c r="R16" i="31"/>
  <c r="T79" i="31"/>
  <c r="Q14" i="31"/>
  <c r="Y68" i="31"/>
  <c r="V95" i="31"/>
  <c r="S94" i="31"/>
  <c r="U58" i="31"/>
  <c r="S88" i="31"/>
  <c r="S48" i="31"/>
  <c r="P60" i="31"/>
  <c r="R45" i="31"/>
  <c r="V91" i="31"/>
  <c r="W92" i="31"/>
  <c r="T50" i="31"/>
  <c r="P25" i="31"/>
  <c r="R91" i="31"/>
  <c r="T84" i="31"/>
  <c r="S34" i="31"/>
  <c r="U4" i="31"/>
  <c r="W94" i="31"/>
  <c r="Q48" i="31"/>
  <c r="S42" i="31"/>
  <c r="Y27" i="31"/>
  <c r="W98" i="31"/>
  <c r="Q59" i="31"/>
  <c r="W13" i="31"/>
  <c r="R5" i="31"/>
  <c r="P69" i="31"/>
  <c r="P39" i="31"/>
  <c r="R20" i="31"/>
  <c r="Y83" i="31"/>
  <c r="T98" i="31"/>
  <c r="S51" i="31"/>
  <c r="P38" i="31"/>
  <c r="R101" i="31"/>
  <c r="W66" i="31"/>
  <c r="W45" i="31"/>
  <c r="V37" i="31"/>
  <c r="W77" i="31"/>
  <c r="Q56" i="31"/>
  <c r="V50" i="31"/>
  <c r="V27" i="31"/>
  <c r="W91" i="31"/>
  <c r="W76" i="31"/>
  <c r="U97" i="31"/>
  <c r="X21" i="31"/>
  <c r="U59" i="31"/>
  <c r="Q77" i="31"/>
  <c r="U63" i="31"/>
  <c r="R37" i="31"/>
  <c r="T77" i="31"/>
  <c r="V76" i="31"/>
  <c r="T67" i="31"/>
  <c r="R7" i="31"/>
  <c r="P85" i="31"/>
  <c r="V65" i="31"/>
  <c r="Q25" i="31"/>
  <c r="R12" i="31"/>
  <c r="X90" i="31"/>
  <c r="T89" i="31"/>
  <c r="R4" i="31"/>
  <c r="X3" i="31"/>
  <c r="Y98" i="31"/>
  <c r="Q55" i="31"/>
  <c r="V6" i="31"/>
  <c r="Y8" i="31"/>
  <c r="P100" i="31"/>
  <c r="V56" i="31"/>
  <c r="T6" i="31"/>
  <c r="T3" i="31"/>
  <c r="Y62" i="31"/>
  <c r="R67" i="31"/>
  <c r="X18" i="31"/>
  <c r="V9" i="31"/>
  <c r="S70" i="31"/>
  <c r="U67" i="31"/>
  <c r="X45" i="31"/>
  <c r="T94" i="31"/>
  <c r="Q3" i="31"/>
  <c r="U25" i="31"/>
  <c r="W53" i="31"/>
  <c r="X59" i="31"/>
  <c r="X64" i="31"/>
  <c r="X65" i="31"/>
  <c r="W56" i="31"/>
  <c r="Q8" i="31"/>
  <c r="R95" i="31"/>
  <c r="R50" i="31"/>
  <c r="Y43" i="31"/>
  <c r="R30" i="31"/>
  <c r="R99" i="31"/>
  <c r="R61" i="31"/>
  <c r="R14" i="31"/>
  <c r="S6" i="31"/>
  <c r="X60" i="31"/>
  <c r="Q54" i="31"/>
  <c r="Y9" i="31"/>
  <c r="S14" i="31"/>
  <c r="X97" i="31"/>
  <c r="T64" i="31"/>
  <c r="R35" i="31"/>
  <c r="X77" i="31"/>
  <c r="V101" i="31"/>
  <c r="Y44" i="31"/>
  <c r="T10" i="31"/>
  <c r="W78" i="31"/>
  <c r="T57" i="31"/>
  <c r="Y4" i="31"/>
  <c r="R28" i="31"/>
  <c r="S92" i="31"/>
  <c r="Y79" i="31"/>
  <c r="U99" i="31"/>
  <c r="U22" i="31"/>
  <c r="W61" i="31"/>
  <c r="Y82" i="31"/>
  <c r="U65" i="31"/>
  <c r="Y38" i="31"/>
  <c r="S78" i="31"/>
  <c r="P77" i="31"/>
  <c r="T69" i="31"/>
  <c r="S8" i="31"/>
  <c r="P86" i="31"/>
  <c r="R66" i="31"/>
  <c r="U30" i="31"/>
  <c r="S13" i="31"/>
  <c r="R56" i="31"/>
  <c r="X91" i="31"/>
  <c r="U5" i="31"/>
  <c r="W4" i="31"/>
  <c r="V99" i="31"/>
  <c r="Y56" i="31"/>
  <c r="W14" i="31"/>
  <c r="X14" i="31"/>
  <c r="S91" i="31"/>
  <c r="Y61" i="31"/>
  <c r="W7" i="31"/>
  <c r="S4" i="31"/>
  <c r="R68" i="31"/>
  <c r="R69" i="31"/>
  <c r="Y19" i="31"/>
  <c r="W10" i="31"/>
  <c r="X70" i="31"/>
  <c r="V34" i="31"/>
  <c r="T17" i="31"/>
  <c r="V18" i="31"/>
  <c r="R22" i="31"/>
  <c r="T39" i="31"/>
  <c r="R46" i="31"/>
  <c r="S11" i="31"/>
  <c r="Y95" i="31"/>
  <c r="W67" i="31"/>
  <c r="R52" i="31"/>
  <c r="Q92" i="31"/>
  <c r="W16" i="31"/>
  <c r="X5" i="31"/>
  <c r="Q100" i="31"/>
  <c r="W62" i="31"/>
  <c r="V16" i="31"/>
  <c r="X15" i="31"/>
  <c r="Y94" i="31"/>
  <c r="V62" i="31"/>
  <c r="X13" i="31"/>
  <c r="T5" i="31"/>
  <c r="V69" i="31"/>
  <c r="R71" i="31"/>
  <c r="T20" i="31"/>
  <c r="X11" i="31"/>
  <c r="Y71" i="31"/>
  <c r="S39" i="31"/>
  <c r="U18" i="31"/>
  <c r="W19" i="31"/>
  <c r="V89" i="31"/>
  <c r="W51" i="31"/>
  <c r="O10" i="3" a="1"/>
  <c r="AA41" i="31" l="1" a="1"/>
  <c r="AA46" i="31" s="1"/>
  <c r="AA26" i="31" a="1"/>
  <c r="AA29" i="31" s="1"/>
  <c r="AD29" i="31" s="1"/>
  <c r="R11" i="3"/>
  <c r="T13" i="3"/>
  <c r="R13" i="3"/>
  <c r="S11" i="3"/>
  <c r="P11" i="3"/>
  <c r="Q11" i="3"/>
  <c r="T11" i="3"/>
  <c r="O14" i="3"/>
  <c r="P14" i="3"/>
  <c r="O12" i="3"/>
  <c r="Q14" i="3"/>
  <c r="P12" i="3"/>
  <c r="R14" i="3"/>
  <c r="O10" i="3"/>
  <c r="Q12" i="3"/>
  <c r="S14" i="3"/>
  <c r="P10" i="3"/>
  <c r="R12" i="3"/>
  <c r="T14" i="3"/>
  <c r="O15" i="3"/>
  <c r="S13" i="3"/>
  <c r="Q10" i="3"/>
  <c r="S12" i="3"/>
  <c r="P15" i="3"/>
  <c r="R10" i="3"/>
  <c r="T12" i="3"/>
  <c r="Q15" i="3"/>
  <c r="T15" i="3"/>
  <c r="S10" i="3"/>
  <c r="R15" i="3"/>
  <c r="T10" i="3"/>
  <c r="O13" i="3"/>
  <c r="S15" i="3"/>
  <c r="P13" i="3"/>
  <c r="O11" i="3"/>
  <c r="Q13" i="3"/>
  <c r="AA48" i="31" l="1"/>
  <c r="AA44" i="31"/>
  <c r="AA42" i="31"/>
  <c r="AA43" i="31"/>
  <c r="AA49" i="31"/>
  <c r="AA50" i="31"/>
  <c r="AA45" i="31"/>
  <c r="AA47" i="31"/>
  <c r="AA41" i="31"/>
  <c r="AA33" i="31"/>
  <c r="AD33" i="31" s="1"/>
  <c r="AF33" i="31" s="1"/>
  <c r="AA34" i="31"/>
  <c r="AD34" i="31" s="1"/>
  <c r="AF34" i="31" s="1"/>
  <c r="AA35" i="31"/>
  <c r="AD35" i="31" s="1"/>
  <c r="AC35" i="31" s="1"/>
  <c r="AA26" i="31"/>
  <c r="AD26" i="31" s="1"/>
  <c r="AA27" i="31"/>
  <c r="AD27" i="31" s="1"/>
  <c r="AC27" i="31" s="1"/>
  <c r="AA31" i="31"/>
  <c r="AD31" i="31" s="1"/>
  <c r="AC31" i="31" s="1"/>
  <c r="AA30" i="31"/>
  <c r="AD30" i="31" s="1"/>
  <c r="AF30" i="31" s="1"/>
  <c r="AA32" i="31"/>
  <c r="AD32" i="31" s="1"/>
  <c r="AB32" i="31" s="1"/>
  <c r="AA28" i="31"/>
  <c r="AD28" i="31" s="1"/>
  <c r="AB28" i="31" s="1"/>
  <c r="E3" i="31" a="1"/>
  <c r="AF29" i="31"/>
  <c r="AB29" i="31"/>
  <c r="AC29" i="31"/>
  <c r="U10" i="3" a="1"/>
  <c r="AF32" i="31" l="1"/>
  <c r="AC32" i="31"/>
  <c r="AF31" i="31"/>
  <c r="AB27" i="31"/>
  <c r="AF27" i="31"/>
  <c r="AB34" i="31"/>
  <c r="AB33" i="31"/>
  <c r="AB31" i="31"/>
  <c r="AC33" i="31"/>
  <c r="AC30" i="31"/>
  <c r="AB30" i="31"/>
  <c r="AF35" i="31"/>
  <c r="AC34" i="31"/>
  <c r="AB35" i="31"/>
  <c r="AF28" i="31"/>
  <c r="AC28" i="31"/>
  <c r="E18" i="31"/>
  <c r="E28" i="31"/>
  <c r="E69" i="31"/>
  <c r="E101" i="31"/>
  <c r="E58" i="31"/>
  <c r="E86" i="31"/>
  <c r="E51" i="31"/>
  <c r="E72" i="31"/>
  <c r="E13" i="31"/>
  <c r="E11" i="31"/>
  <c r="E94" i="31"/>
  <c r="E54" i="31"/>
  <c r="E60" i="31"/>
  <c r="E7" i="31"/>
  <c r="E84" i="31"/>
  <c r="E47" i="31"/>
  <c r="E23" i="31"/>
  <c r="E20" i="31"/>
  <c r="E35" i="31"/>
  <c r="E71" i="31"/>
  <c r="E33" i="31"/>
  <c r="E88" i="31"/>
  <c r="E66" i="31"/>
  <c r="E44" i="31"/>
  <c r="E83" i="31"/>
  <c r="E85" i="31"/>
  <c r="E34" i="31"/>
  <c r="E19" i="31"/>
  <c r="E38" i="31"/>
  <c r="E39" i="31"/>
  <c r="E63" i="31"/>
  <c r="E65" i="31"/>
  <c r="E74" i="31"/>
  <c r="E12" i="31"/>
  <c r="E45" i="31"/>
  <c r="E73" i="31"/>
  <c r="E50" i="31"/>
  <c r="E56" i="31"/>
  <c r="E32" i="31"/>
  <c r="E46" i="31"/>
  <c r="E49" i="31"/>
  <c r="E52" i="31"/>
  <c r="E78" i="31"/>
  <c r="E36" i="31"/>
  <c r="E80" i="31"/>
  <c r="E30" i="31"/>
  <c r="E15" i="31"/>
  <c r="E75" i="31"/>
  <c r="E48" i="31"/>
  <c r="E64" i="31"/>
  <c r="E98" i="31"/>
  <c r="E102" i="31"/>
  <c r="E79" i="31"/>
  <c r="E40" i="31"/>
  <c r="E42" i="31"/>
  <c r="E68" i="31"/>
  <c r="E53" i="31"/>
  <c r="E59" i="31"/>
  <c r="E10" i="31"/>
  <c r="E24" i="31"/>
  <c r="E77" i="31"/>
  <c r="E43" i="31"/>
  <c r="E14" i="31"/>
  <c r="E57" i="31"/>
  <c r="E100" i="31"/>
  <c r="E16" i="31"/>
  <c r="E91" i="31"/>
  <c r="E3" i="31"/>
  <c r="E6" i="31"/>
  <c r="E97" i="31"/>
  <c r="E67" i="31"/>
  <c r="E21" i="31"/>
  <c r="E76" i="31"/>
  <c r="E26" i="31"/>
  <c r="E8" i="31"/>
  <c r="E96" i="31"/>
  <c r="E22" i="31"/>
  <c r="E31" i="31"/>
  <c r="E93" i="31"/>
  <c r="E82" i="31"/>
  <c r="E92" i="31"/>
  <c r="E99" i="31"/>
  <c r="E37" i="31"/>
  <c r="E29" i="31"/>
  <c r="E81" i="31"/>
  <c r="E90" i="31"/>
  <c r="E70" i="31"/>
  <c r="E27" i="31"/>
  <c r="E9" i="31"/>
  <c r="E87" i="31"/>
  <c r="E89" i="31"/>
  <c r="E41" i="31"/>
  <c r="E61" i="31"/>
  <c r="E5" i="31"/>
  <c r="E4" i="31"/>
  <c r="E55" i="31"/>
  <c r="E17" i="31"/>
  <c r="E62" i="31"/>
  <c r="E95" i="31"/>
  <c r="E25" i="31"/>
  <c r="AB26" i="31"/>
  <c r="AD36" i="31"/>
  <c r="AC26" i="31"/>
  <c r="U13" i="3"/>
  <c r="Q17" i="3" s="1"/>
  <c r="U11" i="3"/>
  <c r="U14" i="3"/>
  <c r="Q18" i="3" s="1"/>
  <c r="S18" i="3" s="1"/>
  <c r="U12" i="3"/>
  <c r="U10" i="3"/>
  <c r="U15" i="3"/>
  <c r="Q19" i="3" s="1"/>
  <c r="S19" i="3" s="1"/>
  <c r="AD37" i="31" l="1"/>
  <c r="AF37" i="31" s="1"/>
  <c r="AG45" i="31" s="1"/>
  <c r="AH45" i="31" s="1"/>
  <c r="AI45" i="31" s="1"/>
  <c r="AH38" i="31"/>
  <c r="AF36" i="31"/>
  <c r="G3" i="3" a="1"/>
  <c r="X13" i="3"/>
  <c r="X11" i="3"/>
  <c r="X12" i="3"/>
  <c r="Q20" i="3"/>
  <c r="S20" i="3" s="1"/>
  <c r="S17" i="3"/>
  <c r="G5" i="2"/>
  <c r="AG31" i="31" l="1"/>
  <c r="AH31" i="31" s="1"/>
  <c r="AI31" i="31" s="1"/>
  <c r="AB38" i="31"/>
  <c r="AG42" i="31"/>
  <c r="AH42" i="31" s="1"/>
  <c r="AI42" i="31" s="1"/>
  <c r="AG49" i="31"/>
  <c r="AH49" i="31" s="1"/>
  <c r="AI49" i="31" s="1"/>
  <c r="AG33" i="31"/>
  <c r="AH33" i="31" s="1"/>
  <c r="AI33" i="31" s="1"/>
  <c r="AG35" i="31"/>
  <c r="AH35" i="31" s="1"/>
  <c r="AI35" i="31" s="1"/>
  <c r="AG41" i="31"/>
  <c r="AH41" i="31" s="1"/>
  <c r="AI41" i="31" s="1"/>
  <c r="AG43" i="31"/>
  <c r="AH43" i="31" s="1"/>
  <c r="AI43" i="31" s="1"/>
  <c r="AG29" i="31"/>
  <c r="AH29" i="31" s="1"/>
  <c r="AI29" i="31" s="1"/>
  <c r="AG32" i="31"/>
  <c r="AH32" i="31" s="1"/>
  <c r="AI32" i="31" s="1"/>
  <c r="AH37" i="31"/>
  <c r="AB41" i="31" s="1"/>
  <c r="AB42" i="31" s="1"/>
  <c r="AB43" i="31" s="1"/>
  <c r="AB44" i="31" s="1"/>
  <c r="AB45" i="31" s="1"/>
  <c r="AB46" i="31" s="1"/>
  <c r="AB47" i="31" s="1"/>
  <c r="AB48" i="31" s="1"/>
  <c r="AB49" i="31" s="1"/>
  <c r="AB50" i="31" s="1"/>
  <c r="AG28" i="31"/>
  <c r="AH28" i="31" s="1"/>
  <c r="AI28" i="31" s="1"/>
  <c r="AG46" i="31"/>
  <c r="AH46" i="31" s="1"/>
  <c r="AI46" i="31" s="1"/>
  <c r="AG50" i="31"/>
  <c r="AH50" i="31" s="1"/>
  <c r="AI50" i="31" s="1"/>
  <c r="AG47" i="31"/>
  <c r="AH47" i="31" s="1"/>
  <c r="AI47" i="31" s="1"/>
  <c r="AG27" i="31"/>
  <c r="AH27" i="31" s="1"/>
  <c r="AI27" i="31" s="1"/>
  <c r="AG34" i="31"/>
  <c r="AH34" i="31" s="1"/>
  <c r="AI34" i="31" s="1"/>
  <c r="AG48" i="31"/>
  <c r="AH48" i="31" s="1"/>
  <c r="AI48" i="31" s="1"/>
  <c r="AG36" i="31"/>
  <c r="AH36" i="31" s="1"/>
  <c r="AI36" i="31" s="1"/>
  <c r="AG44" i="31"/>
  <c r="AH44" i="31" s="1"/>
  <c r="AI44" i="31" s="1"/>
  <c r="AG30" i="31"/>
  <c r="AH30" i="31" s="1"/>
  <c r="AI30" i="31" s="1"/>
  <c r="G10" i="3"/>
  <c r="G26" i="3"/>
  <c r="G3" i="3"/>
  <c r="G9" i="3"/>
  <c r="G15" i="3"/>
  <c r="G21" i="3"/>
  <c r="G6" i="3"/>
  <c r="G20" i="3"/>
  <c r="G12" i="3"/>
  <c r="G22" i="3"/>
  <c r="G17" i="3"/>
  <c r="G13" i="3"/>
  <c r="G23" i="3"/>
  <c r="G16" i="3"/>
  <c r="G7" i="3"/>
  <c r="G11" i="3"/>
  <c r="G18" i="3"/>
  <c r="G4" i="3"/>
  <c r="G24" i="3"/>
  <c r="G19" i="3"/>
  <c r="G25" i="3"/>
  <c r="G8" i="3"/>
  <c r="G14" i="3"/>
  <c r="G5" i="3"/>
  <c r="Y10" i="3"/>
  <c r="Y12" i="3" s="1"/>
  <c r="A13" i="2"/>
  <c r="B13" i="2"/>
  <c r="A14" i="2"/>
  <c r="B14" i="2"/>
  <c r="Y13" i="3" l="1"/>
  <c r="Y11" i="3"/>
  <c r="Q24" i="3"/>
  <c r="Q25" i="3"/>
  <c r="E12" i="2"/>
  <c r="E10" i="2"/>
  <c r="E9" i="2"/>
  <c r="E5" i="2"/>
  <c r="E2" i="2"/>
  <c r="E3" i="2"/>
  <c r="E6" i="2"/>
  <c r="E7" i="2"/>
  <c r="E4" i="2"/>
  <c r="E8" i="2"/>
  <c r="E11" i="2"/>
  <c r="S25" i="3" l="1"/>
  <c r="Q26" i="3"/>
  <c r="U25" i="3" s="1"/>
  <c r="V25" i="3" s="1"/>
  <c r="S26" i="3"/>
  <c r="U26" i="3" s="1"/>
  <c r="V26" i="3" s="1"/>
  <c r="S24" i="3"/>
  <c r="Q22" i="3"/>
  <c r="H3" i="2"/>
  <c r="J8" i="2" a="1"/>
  <c r="D14" i="2" a="1"/>
  <c r="S22" i="3" l="1"/>
  <c r="Q23" i="3"/>
  <c r="E14" i="2"/>
  <c r="D14" i="2"/>
  <c r="D15" i="2"/>
  <c r="E15" i="2"/>
  <c r="J8" i="2"/>
  <c r="J9" i="2"/>
  <c r="S23" i="3" l="1"/>
  <c r="T22" i="3" s="1"/>
  <c r="U22" i="3" s="1"/>
  <c r="V22" i="3" s="1"/>
  <c r="Q21" i="3"/>
  <c r="S21" i="3" s="1"/>
  <c r="H5" i="2"/>
  <c r="I5" i="2" s="1"/>
  <c r="H4" i="2"/>
  <c r="D17" i="2" a="1"/>
  <c r="U21" i="3" l="1"/>
  <c r="V21" i="3" s="1"/>
  <c r="T19" i="3"/>
  <c r="U19" i="3" s="1"/>
  <c r="V19" i="3" s="1"/>
  <c r="T18" i="3"/>
  <c r="U18" i="3" s="1"/>
  <c r="V18" i="3" s="1"/>
  <c r="T20" i="3"/>
  <c r="U20" i="3" s="1"/>
  <c r="V20" i="3" s="1"/>
  <c r="T17" i="3"/>
  <c r="U17" i="3" s="1"/>
  <c r="V17" i="3" s="1"/>
  <c r="U24" i="3"/>
  <c r="T23" i="3"/>
  <c r="U23" i="3" s="1"/>
  <c r="V23" i="3" s="1"/>
  <c r="E18" i="2"/>
  <c r="D17" i="2"/>
  <c r="E17" i="2"/>
  <c r="D18" i="2"/>
  <c r="F8" i="2" l="1" a="1"/>
  <c r="F8" i="2" l="1"/>
  <c r="F9" i="2"/>
  <c r="C2" i="2" l="1" a="1"/>
  <c r="C5" i="2" l="1"/>
  <c r="C2" i="2"/>
  <c r="C6" i="2"/>
  <c r="C3" i="2"/>
  <c r="C7" i="2"/>
  <c r="C4" i="2"/>
  <c r="C8" i="2"/>
  <c r="C12" i="2"/>
  <c r="C11" i="2"/>
  <c r="C9" i="2"/>
  <c r="C10" i="2"/>
  <c r="C20" i="1"/>
  <c r="L19" i="1"/>
  <c r="K19" i="1"/>
  <c r="J19" i="1"/>
  <c r="C17" i="1"/>
  <c r="L17" i="1" s="1"/>
  <c r="C16" i="1"/>
  <c r="J16" i="1" s="1"/>
  <c r="C15" i="1"/>
  <c r="L15" i="1" s="1"/>
  <c r="C14" i="1"/>
  <c r="L14" i="1" s="1"/>
  <c r="C13" i="1"/>
  <c r="L13" i="1" s="1"/>
  <c r="C12" i="1"/>
  <c r="J12" i="1" s="1"/>
  <c r="C11" i="1"/>
  <c r="L11" i="1" s="1"/>
  <c r="C10" i="1"/>
  <c r="L10" i="1" s="1"/>
  <c r="C9" i="1"/>
  <c r="L9" i="1" s="1"/>
  <c r="C8" i="1"/>
  <c r="J8" i="1" s="1"/>
  <c r="C7" i="1"/>
  <c r="L7" i="1" s="1"/>
  <c r="C6" i="1"/>
  <c r="L6" i="1" s="1"/>
  <c r="N5" i="1"/>
  <c r="N6" i="1" s="1"/>
  <c r="C5" i="1"/>
  <c r="L5" i="1" s="1"/>
  <c r="Q4" i="1"/>
  <c r="P4" i="1"/>
  <c r="O4" i="1"/>
  <c r="C4" i="1"/>
  <c r="L4" i="1" s="1"/>
  <c r="G3" i="2" l="1"/>
  <c r="G4" i="2"/>
  <c r="I4" i="2" s="1"/>
  <c r="K10" i="1"/>
  <c r="P5" i="1"/>
  <c r="L12" i="1"/>
  <c r="K12" i="1"/>
  <c r="O5" i="1"/>
  <c r="I16" i="1"/>
  <c r="J6" i="1"/>
  <c r="K6" i="1"/>
  <c r="K16" i="1"/>
  <c r="J14" i="1"/>
  <c r="K14" i="1"/>
  <c r="L8" i="1"/>
  <c r="L16" i="1"/>
  <c r="I8" i="1"/>
  <c r="K8" i="1"/>
  <c r="J10" i="1"/>
  <c r="I12" i="1"/>
  <c r="Q6" i="1"/>
  <c r="P6" i="1"/>
  <c r="O6" i="1"/>
  <c r="N7" i="1"/>
  <c r="I6" i="1"/>
  <c r="I10" i="1"/>
  <c r="I14" i="1"/>
  <c r="I4" i="1"/>
  <c r="Q5" i="1"/>
  <c r="J4" i="1"/>
  <c r="I7" i="1"/>
  <c r="I11" i="1"/>
  <c r="I15" i="1"/>
  <c r="J7" i="1"/>
  <c r="J11" i="1"/>
  <c r="J15" i="1"/>
  <c r="K4" i="1"/>
  <c r="K15" i="1"/>
  <c r="K7" i="1"/>
  <c r="K11" i="1"/>
  <c r="I5" i="1"/>
  <c r="I9" i="1"/>
  <c r="I13" i="1"/>
  <c r="I17" i="1"/>
  <c r="J9" i="1"/>
  <c r="J13" i="1"/>
  <c r="J17" i="1"/>
  <c r="K5" i="1"/>
  <c r="K9" i="1"/>
  <c r="K13" i="1"/>
  <c r="K17" i="1"/>
  <c r="J5" i="1"/>
  <c r="G8" i="2" a="1"/>
  <c r="G8" i="2" l="1"/>
  <c r="H8" i="2" s="1"/>
  <c r="I8" i="2" s="1"/>
  <c r="G9" i="2"/>
  <c r="H9" i="2" s="1"/>
  <c r="I9" i="2" s="1"/>
  <c r="K4" i="2"/>
  <c r="K5" i="2"/>
  <c r="I3" i="2"/>
  <c r="J3" i="2" s="1"/>
  <c r="K3" i="2" s="1"/>
  <c r="H21" i="1" a="1"/>
  <c r="G21" i="1" a="1"/>
  <c r="P7" i="1"/>
  <c r="N8" i="1"/>
  <c r="O7" i="1"/>
  <c r="Q7" i="1"/>
  <c r="Q8" i="1" l="1"/>
  <c r="P8" i="1"/>
  <c r="O8" i="1"/>
  <c r="N9" i="1"/>
  <c r="G25" i="1"/>
  <c r="G24" i="1"/>
  <c r="G23" i="1"/>
  <c r="G22" i="1"/>
  <c r="G21" i="1"/>
  <c r="J25" i="1"/>
  <c r="I22" i="1"/>
  <c r="I25" i="1"/>
  <c r="H22" i="1"/>
  <c r="J21" i="1"/>
  <c r="H25" i="1"/>
  <c r="L21" i="1"/>
  <c r="L24" i="1"/>
  <c r="K21" i="1"/>
  <c r="J24" i="1"/>
  <c r="I21" i="1"/>
  <c r="I24" i="1"/>
  <c r="H21" i="1"/>
  <c r="H24" i="1"/>
  <c r="L23" i="1"/>
  <c r="K23" i="1"/>
  <c r="J23" i="1"/>
  <c r="I23" i="1"/>
  <c r="L25" i="1"/>
  <c r="K22" i="1"/>
  <c r="H23" i="1"/>
  <c r="L22" i="1"/>
  <c r="K25" i="1"/>
  <c r="J22" i="1"/>
  <c r="K24" i="1"/>
  <c r="B22" i="1" l="1"/>
  <c r="C21" i="1"/>
  <c r="F23" i="1" s="1"/>
  <c r="Y27" i="1" a="1"/>
  <c r="C22" i="1"/>
  <c r="N10" i="1"/>
  <c r="P9" i="1"/>
  <c r="Q9" i="1"/>
  <c r="O9" i="1"/>
  <c r="N11" i="1" l="1"/>
  <c r="Q10" i="1"/>
  <c r="P10" i="1"/>
  <c r="O10" i="1"/>
  <c r="Y31" i="1"/>
  <c r="Y30" i="1"/>
  <c r="Y29" i="1"/>
  <c r="Y28" i="1"/>
  <c r="Y27" i="1"/>
  <c r="G19" i="1" l="1" a="1"/>
  <c r="G19" i="1" s="1"/>
  <c r="F4" i="1" a="1"/>
  <c r="Q11" i="1"/>
  <c r="N12" i="1"/>
  <c r="P11" i="1"/>
  <c r="O11" i="1"/>
  <c r="Q12" i="1" l="1"/>
  <c r="P12" i="1"/>
  <c r="O12" i="1"/>
  <c r="N13" i="1"/>
  <c r="F15" i="1"/>
  <c r="G15" i="1" s="1"/>
  <c r="F14" i="1"/>
  <c r="G14" i="1" s="1"/>
  <c r="F13" i="1"/>
  <c r="G13" i="1" s="1"/>
  <c r="F11" i="1"/>
  <c r="G11" i="1" s="1"/>
  <c r="F8" i="1"/>
  <c r="G8" i="1" s="1"/>
  <c r="F12" i="1"/>
  <c r="G12" i="1" s="1"/>
  <c r="F9" i="1"/>
  <c r="G9" i="1" s="1"/>
  <c r="F7" i="1"/>
  <c r="G7" i="1" s="1"/>
  <c r="F6" i="1"/>
  <c r="G6" i="1" s="1"/>
  <c r="F5" i="1"/>
  <c r="G5" i="1" s="1"/>
  <c r="F4" i="1"/>
  <c r="F17" i="1"/>
  <c r="G17" i="1" s="1"/>
  <c r="F16" i="1"/>
  <c r="G16" i="1" s="1"/>
  <c r="F10" i="1"/>
  <c r="G10" i="1" s="1"/>
  <c r="E14" i="1"/>
  <c r="E10" i="1"/>
  <c r="E6" i="1"/>
  <c r="E5" i="1"/>
  <c r="E17" i="1"/>
  <c r="E13" i="1"/>
  <c r="E9" i="1"/>
  <c r="E7" i="1"/>
  <c r="E16" i="1"/>
  <c r="E12" i="1"/>
  <c r="E8" i="1"/>
  <c r="E15" i="1"/>
  <c r="E4" i="1"/>
  <c r="E11" i="1"/>
  <c r="O13" i="1" l="1"/>
  <c r="N14" i="1"/>
  <c r="P13" i="1"/>
  <c r="Q13" i="1"/>
  <c r="B21" i="1"/>
  <c r="D21" i="1" s="1"/>
  <c r="G4" i="1"/>
  <c r="B20" i="1"/>
  <c r="W13" i="1" l="1" a="1"/>
  <c r="W13" i="1" s="1"/>
  <c r="F21" i="1"/>
  <c r="W8" i="1" a="1"/>
  <c r="W8" i="1" s="1"/>
  <c r="W7" i="1" a="1"/>
  <c r="W7" i="1" s="1"/>
  <c r="T6" i="1" a="1"/>
  <c r="T6" i="1" s="1"/>
  <c r="W5" i="1" a="1"/>
  <c r="W5" i="1" s="1"/>
  <c r="T8" i="1" a="1"/>
  <c r="T8" i="1" s="1"/>
  <c r="W4" i="1" a="1"/>
  <c r="W4" i="1" s="1"/>
  <c r="T7" i="1" a="1"/>
  <c r="T7" i="1" s="1"/>
  <c r="W6" i="1" a="1"/>
  <c r="W6" i="1" s="1"/>
  <c r="T4" i="1" a="1"/>
  <c r="T4" i="1" s="1"/>
  <c r="T5" i="1" a="1"/>
  <c r="T5" i="1" s="1"/>
  <c r="W9" i="1" a="1"/>
  <c r="W9" i="1" s="1"/>
  <c r="T10" i="1" a="1"/>
  <c r="T10" i="1" s="1"/>
  <c r="W10" i="1" a="1"/>
  <c r="W10" i="1" s="1"/>
  <c r="T9" i="1" a="1"/>
  <c r="T9" i="1" s="1"/>
  <c r="T11" i="1" a="1"/>
  <c r="T11" i="1" s="1"/>
  <c r="W11" i="1" a="1"/>
  <c r="W11" i="1" s="1"/>
  <c r="W12" i="1" a="1"/>
  <c r="W12" i="1" s="1"/>
  <c r="T13" i="1" a="1"/>
  <c r="T13" i="1" s="1"/>
  <c r="D20" i="1"/>
  <c r="E20" i="1" s="1"/>
  <c r="F20" i="1" s="1"/>
  <c r="F22" i="1"/>
  <c r="N15" i="1"/>
  <c r="Q14" i="1"/>
  <c r="P14" i="1"/>
  <c r="O14" i="1"/>
  <c r="T12" i="1" a="1"/>
  <c r="T12" i="1" s="1"/>
  <c r="T14" i="1" l="1" a="1"/>
  <c r="T14" i="1" s="1"/>
  <c r="W14" i="1" a="1"/>
  <c r="W14" i="1" s="1"/>
  <c r="Q15" i="1"/>
  <c r="N16" i="1"/>
  <c r="P15" i="1"/>
  <c r="O15" i="1"/>
  <c r="T15" i="1" l="1" a="1"/>
  <c r="T15" i="1" s="1"/>
  <c r="W15" i="1" a="1"/>
  <c r="W15" i="1" s="1"/>
  <c r="Q16" i="1"/>
  <c r="P16" i="1"/>
  <c r="O16" i="1"/>
  <c r="N17" i="1"/>
  <c r="W16" i="1" l="1" a="1"/>
  <c r="W16" i="1" s="1"/>
  <c r="T16" i="1" a="1"/>
  <c r="T16" i="1" s="1"/>
  <c r="N18" i="1"/>
  <c r="O17" i="1"/>
  <c r="Q17" i="1"/>
  <c r="P17" i="1"/>
  <c r="W17" i="1" l="1" a="1"/>
  <c r="W17" i="1" s="1"/>
  <c r="T17" i="1" a="1"/>
  <c r="T17" i="1" s="1"/>
  <c r="N19" i="1"/>
  <c r="P18" i="1"/>
  <c r="O18" i="1"/>
  <c r="Q18" i="1"/>
  <c r="T18" i="1" l="1" a="1"/>
  <c r="T18" i="1" s="1"/>
  <c r="W18" i="1" a="1"/>
  <c r="W18" i="1" s="1"/>
  <c r="P19" i="1"/>
  <c r="Q19" i="1"/>
  <c r="N20" i="1"/>
  <c r="O19" i="1"/>
  <c r="W19" i="1" l="1" a="1"/>
  <c r="W19" i="1" s="1"/>
  <c r="Q20" i="1"/>
  <c r="O20" i="1"/>
  <c r="P20" i="1"/>
  <c r="N21" i="1"/>
  <c r="T19" i="1" a="1"/>
  <c r="T19" i="1" s="1"/>
  <c r="T20" i="1" l="1" a="1"/>
  <c r="T20" i="1" s="1"/>
  <c r="W20" i="1" a="1"/>
  <c r="W20" i="1" s="1"/>
  <c r="Q21" i="1"/>
  <c r="P21" i="1"/>
  <c r="O21" i="1"/>
  <c r="N22" i="1"/>
  <c r="T21" i="1" l="1" a="1"/>
  <c r="T21" i="1" s="1"/>
  <c r="W21" i="1" a="1"/>
  <c r="W21" i="1" s="1"/>
  <c r="Q22" i="1"/>
  <c r="P22" i="1"/>
  <c r="O22" i="1"/>
  <c r="N23" i="1"/>
  <c r="W22" i="1" l="1" a="1"/>
  <c r="W22" i="1" s="1"/>
  <c r="T22" i="1" a="1"/>
  <c r="T22" i="1" s="1"/>
  <c r="N24" i="1"/>
  <c r="O23" i="1"/>
  <c r="Q23" i="1"/>
  <c r="P23" i="1"/>
  <c r="W23" i="1" s="1" a="1"/>
  <c r="W23" i="1" s="1"/>
  <c r="T23" i="1" l="1" a="1"/>
  <c r="T23" i="1" s="1"/>
  <c r="P24" i="1"/>
  <c r="O24" i="1"/>
  <c r="Q24" i="1"/>
  <c r="W24" i="1" l="1" a="1"/>
  <c r="W24" i="1" s="1"/>
  <c r="T24" i="1" a="1"/>
  <c r="T24" i="1" s="1"/>
  <c r="R4" i="1" a="1"/>
  <c r="R24" i="1" s="1"/>
  <c r="R6" i="1" l="1"/>
  <c r="U6" i="1" s="1"/>
  <c r="R14" i="1"/>
  <c r="X14" i="1" s="1"/>
  <c r="R16" i="1"/>
  <c r="V16" i="1" s="1"/>
  <c r="R21" i="1"/>
  <c r="X21" i="1" s="1"/>
  <c r="R23" i="1"/>
  <c r="X23" i="1" s="1"/>
  <c r="R15" i="1"/>
  <c r="U15" i="1" s="1"/>
  <c r="R18" i="1"/>
  <c r="Y18" i="1" s="1"/>
  <c r="R5" i="1"/>
  <c r="Y5" i="1" s="1"/>
  <c r="R20" i="1"/>
  <c r="Y20" i="1" s="1"/>
  <c r="R17" i="1"/>
  <c r="Y17" i="1" s="1"/>
  <c r="R22" i="1"/>
  <c r="Y22" i="1" s="1"/>
  <c r="R7" i="1"/>
  <c r="X7" i="1" s="1"/>
  <c r="R9" i="1"/>
  <c r="X9" i="1" s="1"/>
  <c r="R10" i="1"/>
  <c r="U10" i="1" s="1"/>
  <c r="R19" i="1"/>
  <c r="Y19" i="1" s="1"/>
  <c r="R12" i="1"/>
  <c r="X12" i="1" s="1"/>
  <c r="R4" i="1"/>
  <c r="V4" i="1" s="1"/>
  <c r="R11" i="1"/>
  <c r="S11" i="1" s="1"/>
  <c r="R8" i="1"/>
  <c r="X8" i="1" s="1"/>
  <c r="R13" i="1"/>
  <c r="Y13" i="1" s="1"/>
  <c r="Y16" i="1"/>
  <c r="X16" i="1"/>
  <c r="U16" i="1"/>
  <c r="Y21" i="1"/>
  <c r="X6" i="1"/>
  <c r="Y11" i="1"/>
  <c r="X11" i="1"/>
  <c r="V11" i="1"/>
  <c r="Y24" i="1"/>
  <c r="X24" i="1"/>
  <c r="S24" i="1"/>
  <c r="V24" i="1"/>
  <c r="U24" i="1"/>
  <c r="U21" i="1" l="1"/>
  <c r="X5" i="1"/>
  <c r="U18" i="1"/>
  <c r="Y14" i="1"/>
  <c r="U14" i="1"/>
  <c r="S14" i="1"/>
  <c r="V14" i="1"/>
  <c r="S8" i="1"/>
  <c r="U11" i="1"/>
  <c r="S4" i="1"/>
  <c r="Y23" i="1"/>
  <c r="X4" i="1"/>
  <c r="Y4" i="1"/>
  <c r="U4" i="1"/>
  <c r="Y6" i="1"/>
  <c r="V6" i="1"/>
  <c r="S6" i="1"/>
  <c r="S13" i="1"/>
  <c r="U13" i="1"/>
  <c r="V13" i="1"/>
  <c r="X13" i="1"/>
  <c r="U8" i="1"/>
  <c r="Y8" i="1"/>
  <c r="S21" i="1"/>
  <c r="V15" i="1"/>
  <c r="V21" i="1"/>
  <c r="V17" i="1"/>
  <c r="V19" i="1"/>
  <c r="Y15" i="1"/>
  <c r="S23" i="1"/>
  <c r="S5" i="1"/>
  <c r="U5" i="1"/>
  <c r="U17" i="1"/>
  <c r="U23" i="1"/>
  <c r="V8" i="1"/>
  <c r="V23" i="1"/>
  <c r="V5" i="1"/>
  <c r="S9" i="1"/>
  <c r="V9" i="1"/>
  <c r="Y9" i="1"/>
  <c r="X15" i="1"/>
  <c r="S15" i="1"/>
  <c r="U9" i="1"/>
  <c r="Y12" i="1"/>
  <c r="V18" i="1"/>
  <c r="S19" i="1"/>
  <c r="S18" i="1"/>
  <c r="U19" i="1"/>
  <c r="S17" i="1"/>
  <c r="S16" i="1"/>
  <c r="V7" i="1"/>
  <c r="S7" i="1"/>
  <c r="X19" i="1"/>
  <c r="V10" i="1"/>
  <c r="Y10" i="1"/>
  <c r="U20" i="1"/>
  <c r="Y7" i="1"/>
  <c r="U7" i="1"/>
  <c r="S22" i="1"/>
  <c r="U22" i="1"/>
  <c r="V20" i="1"/>
  <c r="X18" i="1"/>
  <c r="S10" i="1"/>
  <c r="X10" i="1"/>
  <c r="S12" i="1"/>
  <c r="V22" i="1"/>
  <c r="X20" i="1"/>
  <c r="X17" i="1"/>
  <c r="S20" i="1"/>
  <c r="U12" i="1"/>
  <c r="X22" i="1"/>
  <c r="V12" i="1"/>
  <c r="L6" i="7" a="1"/>
  <c r="L9" i="7" a="1"/>
  <c r="L7" i="7" l="1"/>
  <c r="L6" i="7"/>
  <c r="G3" i="7" a="1"/>
  <c r="G16" i="7" s="1"/>
  <c r="L9" i="7"/>
  <c r="L10" i="7"/>
  <c r="L11" i="7"/>
  <c r="L13" i="7" a="1"/>
  <c r="G7" i="7" l="1"/>
  <c r="G18" i="7"/>
  <c r="G8" i="7"/>
  <c r="G5" i="7"/>
  <c r="G9" i="7"/>
  <c r="G3" i="7"/>
  <c r="G10" i="7"/>
  <c r="G23" i="7"/>
  <c r="G15" i="7"/>
  <c r="G13" i="7"/>
  <c r="G11" i="7"/>
  <c r="G12" i="7"/>
  <c r="G14" i="7"/>
  <c r="G17" i="7"/>
  <c r="G19" i="7"/>
  <c r="G6" i="7"/>
  <c r="G20" i="7"/>
  <c r="G21" i="7"/>
  <c r="G4" i="7"/>
  <c r="G22" i="7"/>
  <c r="H3" i="7" a="1"/>
  <c r="H17" i="7" s="1"/>
  <c r="L14" i="7"/>
  <c r="L13" i="7"/>
  <c r="L15" i="7"/>
  <c r="L16" i="7"/>
  <c r="L18" i="7" a="1"/>
  <c r="N5" i="7" l="1"/>
  <c r="T6" i="7" s="1"/>
  <c r="I3" i="7" a="1"/>
  <c r="I13" i="7" s="1"/>
  <c r="N4" i="7"/>
  <c r="P4" i="7" s="1"/>
  <c r="H7" i="7"/>
  <c r="H21" i="7"/>
  <c r="H8" i="7"/>
  <c r="H20" i="7"/>
  <c r="H15" i="7"/>
  <c r="H19" i="7"/>
  <c r="H18" i="7"/>
  <c r="H14" i="7"/>
  <c r="H13" i="7"/>
  <c r="H9" i="7"/>
  <c r="H16" i="7"/>
  <c r="H3" i="7"/>
  <c r="H12" i="7"/>
  <c r="H23" i="7"/>
  <c r="H11" i="7"/>
  <c r="H6" i="7"/>
  <c r="H10" i="7"/>
  <c r="H22" i="7"/>
  <c r="H4" i="7"/>
  <c r="H5" i="7"/>
  <c r="L18" i="7"/>
  <c r="L19" i="7"/>
  <c r="L20" i="7"/>
  <c r="L21" i="7"/>
  <c r="L22" i="7"/>
  <c r="J3" i="7" l="1" a="1"/>
  <c r="J13" i="7" s="1"/>
  <c r="P5" i="7"/>
  <c r="Q4" i="7" s="1"/>
  <c r="R4" i="7" s="1"/>
  <c r="I17" i="7"/>
  <c r="I6" i="7"/>
  <c r="R5" i="7"/>
  <c r="I8" i="7"/>
  <c r="I14" i="7"/>
  <c r="I23" i="7"/>
  <c r="I19" i="7"/>
  <c r="I9" i="7"/>
  <c r="I10" i="7"/>
  <c r="I7" i="7"/>
  <c r="I20" i="7"/>
  <c r="I11" i="7"/>
  <c r="I21" i="7"/>
  <c r="I12" i="7"/>
  <c r="I22" i="7"/>
  <c r="I3" i="7"/>
  <c r="I18" i="7"/>
  <c r="I5" i="7"/>
  <c r="I4" i="7"/>
  <c r="I15" i="7"/>
  <c r="I16" i="7"/>
  <c r="N9" i="7"/>
  <c r="P9" i="7" s="1"/>
  <c r="N10" i="7"/>
  <c r="P10" i="7" s="1"/>
  <c r="J4" i="7" l="1"/>
  <c r="J11" i="7"/>
  <c r="J9" i="7"/>
  <c r="J15" i="7"/>
  <c r="J7" i="7"/>
  <c r="J6" i="7"/>
  <c r="J3" i="7"/>
  <c r="J23" i="7"/>
  <c r="J19" i="7"/>
  <c r="J20" i="7"/>
  <c r="J21" i="7"/>
  <c r="J18" i="7"/>
  <c r="J22" i="7"/>
  <c r="J16" i="7"/>
  <c r="J8" i="7"/>
  <c r="J17" i="7"/>
  <c r="J5" i="7"/>
  <c r="J10" i="7"/>
  <c r="J14" i="7"/>
  <c r="J12" i="7"/>
  <c r="N14" i="7"/>
  <c r="R15" i="7" s="1"/>
  <c r="R6" i="7"/>
  <c r="T5" i="7"/>
  <c r="N15" i="7"/>
  <c r="P15" i="7" s="1"/>
  <c r="R10" i="7"/>
  <c r="T11" i="7"/>
  <c r="Q9" i="7"/>
  <c r="R9" i="7" s="1"/>
  <c r="T10" i="7"/>
  <c r="R11" i="7"/>
  <c r="N20" i="7" l="1"/>
  <c r="P20" i="7" s="1"/>
  <c r="P14" i="7"/>
  <c r="Q14" i="7" s="1"/>
  <c r="R14" i="7" s="1"/>
  <c r="N19" i="7"/>
  <c r="R20" i="7" s="1"/>
  <c r="T16" i="7"/>
  <c r="T15" i="7"/>
  <c r="R16" i="7"/>
  <c r="T21" i="7" l="1"/>
  <c r="P19" i="7"/>
  <c r="Q19" i="7" s="1"/>
  <c r="R19" i="7" s="1"/>
  <c r="T20" i="7"/>
  <c r="R21" i="7"/>
  <c r="A26" i="12" l="1" a="1"/>
  <c r="F26" i="12" s="1"/>
  <c r="B28" i="12" l="1"/>
  <c r="E31" i="12"/>
  <c r="G32" i="12"/>
  <c r="N32" i="12" s="1"/>
  <c r="A30" i="12"/>
  <c r="A29" i="12"/>
  <c r="B29" i="12"/>
  <c r="F31" i="12"/>
  <c r="M31" i="12" s="1"/>
  <c r="T31" i="12" s="1"/>
  <c r="C26" i="12"/>
  <c r="C31" i="12"/>
  <c r="B27" i="12"/>
  <c r="A32" i="12"/>
  <c r="G27" i="12"/>
  <c r="C28" i="12"/>
  <c r="B26" i="12"/>
  <c r="A27" i="12"/>
  <c r="F32" i="12"/>
  <c r="M32" i="12" s="1"/>
  <c r="F30" i="12"/>
  <c r="B30" i="12"/>
  <c r="B31" i="12"/>
  <c r="C27" i="12"/>
  <c r="C30" i="12"/>
  <c r="G28" i="12"/>
  <c r="F29" i="12"/>
  <c r="G30" i="12"/>
  <c r="D30" i="12"/>
  <c r="D31" i="12"/>
  <c r="D32" i="12"/>
  <c r="E26" i="12"/>
  <c r="D27" i="12"/>
  <c r="E27" i="12"/>
  <c r="A31" i="12"/>
  <c r="A26" i="12"/>
  <c r="E28" i="12"/>
  <c r="E32" i="12"/>
  <c r="E30" i="12"/>
  <c r="D28" i="12"/>
  <c r="F28" i="12"/>
  <c r="G29" i="12"/>
  <c r="A28" i="12"/>
  <c r="G26" i="12"/>
  <c r="G31" i="12"/>
  <c r="N31" i="12" s="1"/>
  <c r="C32" i="12"/>
  <c r="D29" i="12"/>
  <c r="B32" i="12"/>
  <c r="D26" i="12"/>
  <c r="C29" i="12"/>
  <c r="E29" i="12"/>
  <c r="F27" i="12"/>
  <c r="T32" i="12" l="1"/>
  <c r="U32" i="12"/>
  <c r="AA31" i="12"/>
  <c r="AC3" i="12" s="1" a="1"/>
  <c r="O3" i="12" a="1"/>
  <c r="P7" i="12" s="1"/>
  <c r="H3" i="12" a="1"/>
  <c r="AB31" i="12"/>
  <c r="U31" i="12"/>
  <c r="AA32" i="12"/>
  <c r="AB32" i="12"/>
  <c r="V3" i="12" a="1"/>
  <c r="P9" i="12" l="1"/>
  <c r="T11" i="12"/>
  <c r="O7" i="12"/>
  <c r="T6" i="12"/>
  <c r="T5" i="12"/>
  <c r="Q14" i="12"/>
  <c r="Q11" i="12"/>
  <c r="S7" i="12"/>
  <c r="U6" i="12"/>
  <c r="S13" i="12"/>
  <c r="P4" i="12"/>
  <c r="U9" i="12"/>
  <c r="R12" i="12"/>
  <c r="R11" i="12"/>
  <c r="T4" i="12"/>
  <c r="R10" i="12"/>
  <c r="Q13" i="12"/>
  <c r="U5" i="12"/>
  <c r="T14" i="12"/>
  <c r="T3" i="12"/>
  <c r="S6" i="12"/>
  <c r="U11" i="12"/>
  <c r="Q8" i="12"/>
  <c r="P11" i="12"/>
  <c r="P14" i="12"/>
  <c r="O12" i="12"/>
  <c r="S5" i="12"/>
  <c r="P13" i="12"/>
  <c r="P12" i="12"/>
  <c r="O6" i="12"/>
  <c r="R5" i="12"/>
  <c r="Q4" i="12"/>
  <c r="U8" i="12"/>
  <c r="U10" i="12"/>
  <c r="R4" i="12"/>
  <c r="O5" i="12"/>
  <c r="S4" i="12"/>
  <c r="T10" i="12"/>
  <c r="R9" i="12"/>
  <c r="S10" i="12"/>
  <c r="U3" i="12"/>
  <c r="Q12" i="12"/>
  <c r="U12" i="12"/>
  <c r="O8" i="12"/>
  <c r="R6" i="12"/>
  <c r="U7" i="12"/>
  <c r="U14" i="12"/>
  <c r="T8" i="12"/>
  <c r="S14" i="12"/>
  <c r="U4" i="12"/>
  <c r="O9" i="12"/>
  <c r="P10" i="12"/>
  <c r="S9" i="12"/>
  <c r="S11" i="12"/>
  <c r="Q3" i="12"/>
  <c r="O3" i="12"/>
  <c r="Q7" i="12"/>
  <c r="T13" i="12"/>
  <c r="R13" i="12"/>
  <c r="T7" i="12"/>
  <c r="O14" i="12"/>
  <c r="R3" i="12"/>
  <c r="S3" i="12"/>
  <c r="U13" i="12"/>
  <c r="T9" i="12"/>
  <c r="P6" i="12"/>
  <c r="R14" i="12"/>
  <c r="O10" i="12"/>
  <c r="P5" i="12"/>
  <c r="Q6" i="12"/>
  <c r="R7" i="12"/>
  <c r="O13" i="12"/>
  <c r="Q10" i="12"/>
  <c r="R8" i="12"/>
  <c r="P3" i="12"/>
  <c r="O4" i="12"/>
  <c r="P8" i="12"/>
  <c r="Q9" i="12"/>
  <c r="S8" i="12"/>
  <c r="T12" i="12"/>
  <c r="O11" i="12"/>
  <c r="Q5" i="12"/>
  <c r="S12" i="12"/>
  <c r="J6" i="12"/>
  <c r="K13" i="12"/>
  <c r="M6" i="12"/>
  <c r="H14" i="12"/>
  <c r="L9" i="12"/>
  <c r="H12" i="12"/>
  <c r="L14" i="12"/>
  <c r="H5" i="12"/>
  <c r="K5" i="12"/>
  <c r="I8" i="12"/>
  <c r="N12" i="12"/>
  <c r="M8" i="12"/>
  <c r="I13" i="12"/>
  <c r="I9" i="12"/>
  <c r="K4" i="12"/>
  <c r="N11" i="12"/>
  <c r="K14" i="12"/>
  <c r="H4" i="12"/>
  <c r="J5" i="12"/>
  <c r="H8" i="12"/>
  <c r="K10" i="12"/>
  <c r="N5" i="12"/>
  <c r="H11" i="12"/>
  <c r="K11" i="12"/>
  <c r="J14" i="12"/>
  <c r="N7" i="12"/>
  <c r="M12" i="12"/>
  <c r="J13" i="12"/>
  <c r="N13" i="12"/>
  <c r="J3" i="12"/>
  <c r="M7" i="12"/>
  <c r="L12" i="12"/>
  <c r="H9" i="12"/>
  <c r="L13" i="12"/>
  <c r="K8" i="12"/>
  <c r="K6" i="12"/>
  <c r="N6" i="12"/>
  <c r="M4" i="12"/>
  <c r="N14" i="12"/>
  <c r="L11" i="12"/>
  <c r="M10" i="12"/>
  <c r="N3" i="12"/>
  <c r="I7" i="12"/>
  <c r="L8" i="12"/>
  <c r="J10" i="12"/>
  <c r="N10" i="12"/>
  <c r="L6" i="12"/>
  <c r="H3" i="12"/>
  <c r="H17" i="12" s="1" a="1"/>
  <c r="M20" i="12" s="1"/>
  <c r="K3" i="12"/>
  <c r="M3" i="12"/>
  <c r="M11" i="12"/>
  <c r="H10" i="12"/>
  <c r="K12" i="12"/>
  <c r="J11" i="12"/>
  <c r="I14" i="12"/>
  <c r="L7" i="12"/>
  <c r="J12" i="12"/>
  <c r="I6" i="12"/>
  <c r="M5" i="12"/>
  <c r="M13" i="12"/>
  <c r="J9" i="12"/>
  <c r="K7" i="12"/>
  <c r="N9" i="12"/>
  <c r="H13" i="12"/>
  <c r="J8" i="12"/>
  <c r="L3" i="12"/>
  <c r="I4" i="12"/>
  <c r="M9" i="12"/>
  <c r="H6" i="12"/>
  <c r="I5" i="12"/>
  <c r="K9" i="12"/>
  <c r="I10" i="12"/>
  <c r="J4" i="12"/>
  <c r="N4" i="12"/>
  <c r="I3" i="12"/>
  <c r="N8" i="12"/>
  <c r="L4" i="12"/>
  <c r="M14" i="12"/>
  <c r="H7" i="12"/>
  <c r="I11" i="12"/>
  <c r="I12" i="12"/>
  <c r="L5" i="12"/>
  <c r="J7" i="12"/>
  <c r="L10" i="12"/>
  <c r="AE3" i="12"/>
  <c r="AI13" i="12"/>
  <c r="AH7" i="12"/>
  <c r="AI5" i="12"/>
  <c r="AG9" i="12"/>
  <c r="AF10" i="12"/>
  <c r="AD6" i="12"/>
  <c r="AC5" i="12"/>
  <c r="AG6" i="12"/>
  <c r="AE9" i="12"/>
  <c r="AH12" i="12"/>
  <c r="AE11" i="12"/>
  <c r="AI4" i="12"/>
  <c r="AC14" i="12"/>
  <c r="AC13" i="12"/>
  <c r="AF5" i="12"/>
  <c r="AH3" i="12"/>
  <c r="AG14" i="12"/>
  <c r="AC9" i="12"/>
  <c r="AD10" i="12"/>
  <c r="AF8" i="12"/>
  <c r="AF13" i="12"/>
  <c r="AD8" i="12"/>
  <c r="AH4" i="12"/>
  <c r="AE12" i="12"/>
  <c r="AC7" i="12"/>
  <c r="AG8" i="12"/>
  <c r="AH9" i="12"/>
  <c r="AI10" i="12"/>
  <c r="AI8" i="12"/>
  <c r="AE5" i="12"/>
  <c r="AC6" i="12"/>
  <c r="AF4" i="12"/>
  <c r="AG3" i="12"/>
  <c r="AD11" i="12"/>
  <c r="AI14" i="12"/>
  <c r="AF7" i="12"/>
  <c r="AI9" i="12"/>
  <c r="AD3" i="12"/>
  <c r="AE4" i="12"/>
  <c r="AC11" i="12"/>
  <c r="AF3" i="12"/>
  <c r="AE14" i="12"/>
  <c r="AE8" i="12"/>
  <c r="AC10" i="12"/>
  <c r="AH13" i="12"/>
  <c r="AE6" i="12"/>
  <c r="AH8" i="12"/>
  <c r="AD12" i="12"/>
  <c r="AF14" i="12"/>
  <c r="AG12" i="12"/>
  <c r="AD5" i="12"/>
  <c r="AG7" i="12"/>
  <c r="AG4" i="12"/>
  <c r="AE10" i="12"/>
  <c r="AI3" i="12"/>
  <c r="AH10" i="12"/>
  <c r="AC12" i="12"/>
  <c r="AE13" i="12"/>
  <c r="AF11" i="12"/>
  <c r="AC4" i="12"/>
  <c r="AF6" i="12"/>
  <c r="AH5" i="12"/>
  <c r="AI12" i="12"/>
  <c r="AH14" i="12"/>
  <c r="AI11" i="12"/>
  <c r="AG5" i="12"/>
  <c r="AE7" i="12"/>
  <c r="AD14" i="12"/>
  <c r="AC8" i="12"/>
  <c r="AD9" i="12"/>
  <c r="AH11" i="12"/>
  <c r="AD4" i="12"/>
  <c r="AI6" i="12"/>
  <c r="AH6" i="12"/>
  <c r="AG11" i="12"/>
  <c r="AF9" i="12"/>
  <c r="AG10" i="12"/>
  <c r="AC3" i="12"/>
  <c r="AI7" i="12"/>
  <c r="AG13" i="12"/>
  <c r="AD7" i="12"/>
  <c r="AD13" i="12"/>
  <c r="AF12" i="12"/>
  <c r="X12" i="12"/>
  <c r="Z7" i="12"/>
  <c r="Y3" i="12"/>
  <c r="AA7" i="12"/>
  <c r="W11" i="12"/>
  <c r="Z14" i="12"/>
  <c r="AA13" i="12"/>
  <c r="Z13" i="12"/>
  <c r="AA3" i="12"/>
  <c r="AB7" i="12"/>
  <c r="X11" i="12"/>
  <c r="AA14" i="12"/>
  <c r="AB4" i="12"/>
  <c r="V13" i="12"/>
  <c r="X8" i="12"/>
  <c r="Y11" i="12"/>
  <c r="AB11" i="12"/>
  <c r="AA9" i="12"/>
  <c r="AB3" i="12"/>
  <c r="AB14" i="12"/>
  <c r="V12" i="12"/>
  <c r="W6" i="12"/>
  <c r="V10" i="12"/>
  <c r="W4" i="12"/>
  <c r="Y8" i="12"/>
  <c r="Z11" i="12"/>
  <c r="Y13" i="12"/>
  <c r="Y6" i="12"/>
  <c r="V5" i="12"/>
  <c r="X4" i="12"/>
  <c r="Z8" i="12"/>
  <c r="AA11" i="12"/>
  <c r="Y4" i="12"/>
  <c r="Y7" i="12"/>
  <c r="AA8" i="12"/>
  <c r="AA12" i="12"/>
  <c r="Z3" i="12"/>
  <c r="X7" i="12"/>
  <c r="W5" i="12"/>
  <c r="X9" i="12"/>
  <c r="Y12" i="12"/>
  <c r="Z4" i="12"/>
  <c r="Z6" i="12"/>
  <c r="V11" i="12"/>
  <c r="W8" i="12"/>
  <c r="AA6" i="12"/>
  <c r="Y5" i="12"/>
  <c r="Y9" i="12"/>
  <c r="Z12" i="12"/>
  <c r="V7" i="12"/>
  <c r="Z10" i="12"/>
  <c r="AB10" i="12"/>
  <c r="AB8" i="12"/>
  <c r="AA4" i="12"/>
  <c r="Z5" i="12"/>
  <c r="Z9" i="12"/>
  <c r="AB12" i="12"/>
  <c r="X6" i="12"/>
  <c r="W9" i="12"/>
  <c r="V3" i="12"/>
  <c r="AA5" i="12"/>
  <c r="W10" i="12"/>
  <c r="W13" i="12"/>
  <c r="X5" i="12"/>
  <c r="W3" i="12"/>
  <c r="W7" i="12"/>
  <c r="X3" i="12"/>
  <c r="V6" i="12"/>
  <c r="V4" i="12"/>
  <c r="AB5" i="12"/>
  <c r="X10" i="12"/>
  <c r="X13" i="12"/>
  <c r="AB13" i="12"/>
  <c r="Y10" i="12"/>
  <c r="V14" i="12"/>
  <c r="W12" i="12"/>
  <c r="V8" i="12"/>
  <c r="AB9" i="12"/>
  <c r="V9" i="12"/>
  <c r="AB6" i="12"/>
  <c r="AA10" i="12"/>
  <c r="W14" i="12"/>
  <c r="X14" i="12"/>
  <c r="Y14" i="12"/>
  <c r="O17" i="12" a="1"/>
  <c r="L22" i="12" l="1"/>
  <c r="H19" i="12"/>
  <c r="N18" i="12"/>
  <c r="H21" i="12"/>
  <c r="N23" i="12"/>
  <c r="M22" i="12"/>
  <c r="L17" i="12"/>
  <c r="K17" i="12"/>
  <c r="K22" i="12"/>
  <c r="N20" i="12"/>
  <c r="J21" i="12"/>
  <c r="N22" i="12"/>
  <c r="H22" i="12"/>
  <c r="L18" i="12"/>
  <c r="K19" i="12"/>
  <c r="K18" i="12"/>
  <c r="H20" i="12"/>
  <c r="J19" i="12"/>
  <c r="I22" i="12"/>
  <c r="J17" i="12"/>
  <c r="I23" i="12"/>
  <c r="J18" i="12"/>
  <c r="H17" i="12"/>
  <c r="I20" i="12"/>
  <c r="J22" i="12"/>
  <c r="K21" i="12"/>
  <c r="L20" i="12"/>
  <c r="N21" i="12"/>
  <c r="M21" i="12"/>
  <c r="J23" i="12"/>
  <c r="I19" i="12"/>
  <c r="N17" i="12"/>
  <c r="J20" i="12"/>
  <c r="I17" i="12"/>
  <c r="M19" i="12"/>
  <c r="M18" i="12"/>
  <c r="M17" i="12"/>
  <c r="H23" i="12"/>
  <c r="K20" i="12"/>
  <c r="H18" i="12"/>
  <c r="N19" i="12"/>
  <c r="L19" i="12"/>
  <c r="I21" i="12"/>
  <c r="I18" i="12"/>
  <c r="M23" i="12"/>
  <c r="L21" i="12"/>
  <c r="L23" i="12"/>
  <c r="K23" i="12"/>
  <c r="Q23" i="12"/>
  <c r="R19" i="12"/>
  <c r="U19" i="12"/>
  <c r="U22" i="12"/>
  <c r="P22" i="12"/>
  <c r="U18" i="12"/>
  <c r="Q21" i="12"/>
  <c r="R18" i="12"/>
  <c r="T21" i="12"/>
  <c r="P21" i="12"/>
  <c r="Q18" i="12"/>
  <c r="U20" i="12"/>
  <c r="O23" i="12"/>
  <c r="Q17" i="12"/>
  <c r="S20" i="12"/>
  <c r="Q20" i="12"/>
  <c r="S19" i="12"/>
  <c r="R20" i="12"/>
  <c r="Q19" i="12"/>
  <c r="O18" i="12"/>
  <c r="T20" i="12"/>
  <c r="T22" i="12"/>
  <c r="U23" i="12"/>
  <c r="R22" i="12"/>
  <c r="Q22" i="12"/>
  <c r="O22" i="12"/>
  <c r="O21" i="12"/>
  <c r="T18" i="12"/>
  <c r="P20" i="12"/>
  <c r="S22" i="12"/>
  <c r="O20" i="12"/>
  <c r="O19" i="12"/>
  <c r="T19" i="12"/>
  <c r="P23" i="12"/>
  <c r="P17" i="12"/>
  <c r="P18" i="12"/>
  <c r="S21" i="12"/>
  <c r="U21" i="12"/>
  <c r="S23" i="12"/>
  <c r="R23" i="12"/>
  <c r="R21" i="12"/>
  <c r="T17" i="12"/>
  <c r="R17" i="12"/>
  <c r="U17" i="12"/>
  <c r="S17" i="12"/>
  <c r="T23" i="12"/>
  <c r="S18" i="12"/>
  <c r="O17" i="12"/>
  <c r="P19" i="12"/>
  <c r="V17" i="12" a="1"/>
  <c r="AC17" i="12" a="1"/>
  <c r="AF23" i="12" l="1"/>
  <c r="AD19" i="12"/>
  <c r="AG22" i="12"/>
  <c r="AI18" i="12"/>
  <c r="AH21" i="12"/>
  <c r="AC17" i="12"/>
  <c r="AE19" i="12"/>
  <c r="AG19" i="12"/>
  <c r="AI22" i="12"/>
  <c r="AE20" i="12"/>
  <c r="AC20" i="12"/>
  <c r="AD21" i="12"/>
  <c r="AE18" i="12"/>
  <c r="AD22" i="12"/>
  <c r="AH17" i="12"/>
  <c r="AH20" i="12"/>
  <c r="AF21" i="12"/>
  <c r="AE17" i="12"/>
  <c r="AE22" i="12"/>
  <c r="AF22" i="12"/>
  <c r="AG21" i="12"/>
  <c r="AD17" i="12"/>
  <c r="AI19" i="12"/>
  <c r="AC18" i="12"/>
  <c r="AD18" i="12"/>
  <c r="AH22" i="12"/>
  <c r="AG23" i="12"/>
  <c r="AD20" i="12"/>
  <c r="AH19" i="12"/>
  <c r="AI17" i="12"/>
  <c r="AI23" i="12"/>
  <c r="AE21" i="12"/>
  <c r="AF18" i="12"/>
  <c r="AC22" i="12"/>
  <c r="AC23" i="12"/>
  <c r="AH23" i="12"/>
  <c r="AF19" i="12"/>
  <c r="AF20" i="12"/>
  <c r="AG18" i="12"/>
  <c r="AH18" i="12"/>
  <c r="AI20" i="12"/>
  <c r="AC21" i="12"/>
  <c r="AG20" i="12"/>
  <c r="AG17" i="12"/>
  <c r="AF17" i="12"/>
  <c r="AD23" i="12"/>
  <c r="AE23" i="12"/>
  <c r="AC19" i="12"/>
  <c r="AI21" i="12"/>
  <c r="AA17" i="12"/>
  <c r="V19" i="12"/>
  <c r="Y21" i="12"/>
  <c r="X20" i="12"/>
  <c r="Y17" i="12"/>
  <c r="Z18" i="12"/>
  <c r="W23" i="12"/>
  <c r="X19" i="12"/>
  <c r="AA22" i="12"/>
  <c r="W19" i="12"/>
  <c r="V23" i="12"/>
  <c r="AA21" i="12"/>
  <c r="Z21" i="12"/>
  <c r="X23" i="12"/>
  <c r="AB19" i="12"/>
  <c r="W22" i="12"/>
  <c r="Y20" i="12"/>
  <c r="Z23" i="12"/>
  <c r="X18" i="12"/>
  <c r="AA20" i="12"/>
  <c r="AB18" i="12"/>
  <c r="Y23" i="12"/>
  <c r="Y19" i="12"/>
  <c r="Z19" i="12"/>
  <c r="AA19" i="12"/>
  <c r="V21" i="12"/>
  <c r="X17" i="12"/>
  <c r="W21" i="12"/>
  <c r="V17" i="12"/>
  <c r="V22" i="12"/>
  <c r="AA18" i="12"/>
  <c r="AB21" i="12"/>
  <c r="AA23" i="12"/>
  <c r="AB20" i="12"/>
  <c r="V18" i="12"/>
  <c r="Y18" i="12"/>
  <c r="Z20" i="12"/>
  <c r="AB17" i="12"/>
  <c r="X22" i="12"/>
  <c r="Y22" i="12"/>
  <c r="AB23" i="12"/>
  <c r="Z17" i="12"/>
  <c r="X21" i="12"/>
  <c r="W18" i="12"/>
  <c r="W17" i="12"/>
  <c r="W20" i="12"/>
  <c r="V20" i="12"/>
  <c r="Z22" i="12"/>
  <c r="AB22" i="12"/>
  <c r="U3" i="19" a="1"/>
  <c r="U6" i="19" s="1"/>
  <c r="O3" i="19" a="1"/>
  <c r="O8" i="19" s="1"/>
  <c r="AE25" i="21" a="1"/>
  <c r="AE25" i="21" s="1"/>
  <c r="X3" i="21" s="1" a="1"/>
  <c r="X12" i="21" s="1"/>
  <c r="U5" i="19" l="1"/>
  <c r="U3" i="19"/>
  <c r="O5" i="19"/>
  <c r="U4" i="19"/>
  <c r="AE27" i="21"/>
  <c r="AE26" i="21"/>
  <c r="AE28" i="21"/>
  <c r="O7" i="19"/>
  <c r="O9" i="19"/>
  <c r="O4" i="19"/>
  <c r="O10" i="19"/>
  <c r="O6" i="19"/>
  <c r="O3" i="19"/>
  <c r="X10" i="21"/>
  <c r="X7" i="21"/>
  <c r="AB25" i="21" a="1"/>
  <c r="AB26" i="21" s="1"/>
  <c r="X4" i="21"/>
  <c r="X15" i="21"/>
  <c r="X5" i="21"/>
  <c r="X13" i="21"/>
  <c r="X16" i="21"/>
  <c r="X3" i="21"/>
  <c r="X8" i="21"/>
  <c r="X6" i="21"/>
  <c r="X17" i="21"/>
  <c r="X14" i="21"/>
  <c r="X11" i="21"/>
  <c r="X18" i="21"/>
  <c r="X9" i="21"/>
  <c r="AB25" i="21" l="1"/>
  <c r="AB27" i="21"/>
  <c r="B46" i="21" s="1"/>
  <c r="D46" i="21" s="1"/>
  <c r="E46" i="21" s="1"/>
  <c r="F46" i="21" s="1"/>
  <c r="AB28" i="21"/>
  <c r="B47" i="21" s="1"/>
  <c r="D47" i="21" s="1"/>
  <c r="E47" i="21" s="1"/>
  <c r="F47" i="21" s="1"/>
  <c r="AD26" i="21"/>
  <c r="B45" i="21"/>
  <c r="D45" i="21" s="1"/>
  <c r="E45" i="21" s="1"/>
  <c r="F45" i="21" s="1"/>
  <c r="AD28" i="21" l="1"/>
  <c r="AD27" i="21"/>
  <c r="AC37" i="21" s="1"/>
  <c r="AD25" i="21"/>
  <c r="X33" i="21" s="1"/>
  <c r="AA35" i="21"/>
  <c r="Y34" i="21"/>
  <c r="Z34" i="21"/>
  <c r="Z35" i="21"/>
  <c r="Z36" i="21"/>
  <c r="AA34" i="21"/>
  <c r="Y36" i="21"/>
  <c r="AA36" i="21"/>
  <c r="Y35" i="21"/>
  <c r="AD38" i="21"/>
  <c r="AC38" i="21"/>
  <c r="AG42" i="21"/>
  <c r="AF41" i="21"/>
  <c r="AF40" i="21"/>
  <c r="AE40" i="21"/>
  <c r="AE41" i="21"/>
  <c r="AF42" i="21"/>
  <c r="AG40" i="21"/>
  <c r="AG41" i="21"/>
  <c r="AE42" i="21"/>
  <c r="AC39" i="21" l="1"/>
  <c r="AB37" i="21"/>
  <c r="AB39" i="21"/>
  <c r="AB38" i="21"/>
  <c r="AD37" i="21"/>
  <c r="Z20" i="21" s="1" a="1"/>
  <c r="Z24" i="21" s="1"/>
  <c r="H48" i="21" s="1"/>
  <c r="AD39" i="21"/>
  <c r="M3" i="21" l="1" a="1"/>
  <c r="Q10" i="21" s="1"/>
  <c r="Z21" i="21"/>
  <c r="H45" i="21" s="1"/>
  <c r="I45" i="21" s="1"/>
  <c r="J45" i="21" s="1"/>
  <c r="Z26" i="21"/>
  <c r="H50" i="21" s="1"/>
  <c r="I50" i="21" s="1"/>
  <c r="J50" i="21" s="1"/>
  <c r="Z23" i="21"/>
  <c r="H47" i="21" s="1"/>
  <c r="I47" i="21" s="1"/>
  <c r="J47" i="21" s="1"/>
  <c r="Z25" i="21"/>
  <c r="H49" i="21" s="1"/>
  <c r="I49" i="21" s="1"/>
  <c r="J49" i="21" s="1"/>
  <c r="Z22" i="21"/>
  <c r="H46" i="21" s="1"/>
  <c r="I46" i="21" s="1"/>
  <c r="J46" i="21" s="1"/>
  <c r="Z28" i="21"/>
  <c r="H52" i="21" s="1"/>
  <c r="I52" i="21" s="1"/>
  <c r="J52" i="21" s="1"/>
  <c r="Z20" i="21"/>
  <c r="Z27" i="21"/>
  <c r="H51" i="21" s="1"/>
  <c r="I51" i="21" s="1"/>
  <c r="J51" i="21" s="1"/>
  <c r="Z29" i="21"/>
  <c r="H53" i="21" s="1"/>
  <c r="I53" i="21" s="1"/>
  <c r="J53" i="21" s="1"/>
  <c r="I48" i="21"/>
  <c r="J48" i="21" s="1"/>
  <c r="U17" i="21" l="1"/>
  <c r="T5" i="21"/>
  <c r="R9" i="21"/>
  <c r="O12" i="21"/>
  <c r="S18" i="21"/>
  <c r="P5" i="21"/>
  <c r="M10" i="21"/>
  <c r="O17" i="21"/>
  <c r="T14" i="21"/>
  <c r="M8" i="21"/>
  <c r="U18" i="21"/>
  <c r="O13" i="21"/>
  <c r="M4" i="21"/>
  <c r="N9" i="21"/>
  <c r="M6" i="21"/>
  <c r="Q12" i="21"/>
  <c r="P8" i="21"/>
  <c r="R17" i="21"/>
  <c r="N10" i="21"/>
  <c r="R8" i="21"/>
  <c r="O3" i="21"/>
  <c r="Q16" i="21"/>
  <c r="S8" i="21"/>
  <c r="N11" i="21"/>
  <c r="M14" i="21"/>
  <c r="U3" i="21"/>
  <c r="O14" i="21"/>
  <c r="U8" i="21"/>
  <c r="T4" i="21"/>
  <c r="P12" i="21"/>
  <c r="R13" i="21"/>
  <c r="V15" i="21"/>
  <c r="V10" i="21"/>
  <c r="V8" i="21"/>
  <c r="V4" i="21"/>
  <c r="S9" i="21"/>
  <c r="U4" i="21"/>
  <c r="R15" i="21"/>
  <c r="R12" i="21"/>
  <c r="V3" i="21"/>
  <c r="N3" i="21"/>
  <c r="U7" i="21"/>
  <c r="M5" i="21"/>
  <c r="N18" i="21"/>
  <c r="M16" i="21"/>
  <c r="Q11" i="21"/>
  <c r="Q5" i="21"/>
  <c r="M11" i="21"/>
  <c r="M13" i="21"/>
  <c r="U9" i="21"/>
  <c r="T13" i="21"/>
  <c r="N5" i="21"/>
  <c r="T9" i="21"/>
  <c r="T3" i="21"/>
  <c r="M18" i="21"/>
  <c r="P16" i="21"/>
  <c r="U15" i="21"/>
  <c r="P18" i="21"/>
  <c r="R3" i="21"/>
  <c r="Q6" i="21"/>
  <c r="S10" i="21"/>
  <c r="N6" i="21"/>
  <c r="Q4" i="21"/>
  <c r="U13" i="21"/>
  <c r="R5" i="21"/>
  <c r="Q8" i="21"/>
  <c r="O18" i="21"/>
  <c r="Q17" i="21"/>
  <c r="P14" i="21"/>
  <c r="V9" i="21"/>
  <c r="Q14" i="21"/>
  <c r="S14" i="21"/>
  <c r="P6" i="21"/>
  <c r="V17" i="21"/>
  <c r="V12" i="21"/>
  <c r="T17" i="21"/>
  <c r="R11" i="21"/>
  <c r="O7" i="21"/>
  <c r="U14" i="21"/>
  <c r="P9" i="21"/>
  <c r="S16" i="21"/>
  <c r="V6" i="21"/>
  <c r="M9" i="21"/>
  <c r="Q7" i="21"/>
  <c r="T18" i="21"/>
  <c r="P7" i="21"/>
  <c r="U5" i="21"/>
  <c r="R7" i="21"/>
  <c r="R10" i="21"/>
  <c r="P13" i="21"/>
  <c r="N4" i="21"/>
  <c r="T10" i="21"/>
  <c r="Q18" i="21"/>
  <c r="Q15" i="21"/>
  <c r="T8" i="21"/>
  <c r="P4" i="21"/>
  <c r="S5" i="21"/>
  <c r="V13" i="21"/>
  <c r="M15" i="21"/>
  <c r="O10" i="21"/>
  <c r="O11" i="21"/>
  <c r="R16" i="21"/>
  <c r="N15" i="21"/>
  <c r="P3" i="21"/>
  <c r="R18" i="21"/>
  <c r="V16" i="21"/>
  <c r="U6" i="21"/>
  <c r="N16" i="21"/>
  <c r="M3" i="21"/>
  <c r="O6" i="21"/>
  <c r="N8" i="21"/>
  <c r="S12" i="21"/>
  <c r="V18" i="21"/>
  <c r="U11" i="21"/>
  <c r="O16" i="21"/>
  <c r="R4" i="21"/>
  <c r="T11" i="21"/>
  <c r="O8" i="21"/>
  <c r="M7" i="21"/>
  <c r="S6" i="21"/>
  <c r="Q9" i="21"/>
  <c r="O9" i="21"/>
  <c r="U16" i="21"/>
  <c r="M12" i="21"/>
  <c r="N12" i="21"/>
  <c r="O5" i="21"/>
  <c r="O15" i="21"/>
  <c r="S15" i="21"/>
  <c r="N13" i="21"/>
  <c r="S13" i="21"/>
  <c r="P11" i="21"/>
  <c r="T16" i="21"/>
  <c r="T6" i="21"/>
  <c r="S4" i="21"/>
  <c r="R6" i="21"/>
  <c r="N17" i="21"/>
  <c r="S7" i="21"/>
  <c r="U12" i="21"/>
  <c r="T12" i="21"/>
  <c r="R14" i="21"/>
  <c r="V7" i="21"/>
  <c r="S11" i="21"/>
  <c r="U10" i="21"/>
  <c r="S3" i="21"/>
  <c r="V5" i="21"/>
  <c r="N14" i="21"/>
  <c r="S17" i="21"/>
  <c r="P15" i="21"/>
  <c r="T15" i="21"/>
  <c r="Q3" i="21"/>
  <c r="Q13" i="21"/>
  <c r="T7" i="21"/>
  <c r="V14" i="21"/>
  <c r="M17" i="21"/>
  <c r="P17" i="21"/>
  <c r="V11" i="21"/>
  <c r="N7" i="21"/>
  <c r="P10" i="21"/>
  <c r="O4" i="21"/>
  <c r="G45" i="21"/>
  <c r="G48" i="21"/>
  <c r="G51" i="21"/>
  <c r="Z3" i="21" l="1" a="1"/>
  <c r="Z7" i="21" s="1"/>
  <c r="M21" i="21" a="1"/>
  <c r="N28" i="21" s="1"/>
  <c r="J3" i="25" a="1"/>
  <c r="Z12" i="21" l="1"/>
  <c r="Z13" i="21"/>
  <c r="Z11" i="21"/>
  <c r="Z16" i="21"/>
  <c r="Z15" i="21"/>
  <c r="Z18" i="21"/>
  <c r="Z8" i="21"/>
  <c r="Z4" i="21"/>
  <c r="Z17" i="21"/>
  <c r="Z14" i="21"/>
  <c r="Z10" i="21"/>
  <c r="Z9" i="21"/>
  <c r="Z3" i="21"/>
  <c r="Z5" i="21"/>
  <c r="Z6" i="21"/>
  <c r="O27" i="21"/>
  <c r="V23" i="21"/>
  <c r="S30" i="21"/>
  <c r="V21" i="21"/>
  <c r="R24" i="21"/>
  <c r="O28" i="21"/>
  <c r="U30" i="21"/>
  <c r="N24" i="21"/>
  <c r="T26" i="21"/>
  <c r="M24" i="21"/>
  <c r="V29" i="21"/>
  <c r="S28" i="21"/>
  <c r="M26" i="21"/>
  <c r="S22" i="21"/>
  <c r="P22" i="21"/>
  <c r="V22" i="21"/>
  <c r="P25" i="21"/>
  <c r="Q24" i="21"/>
  <c r="U25" i="21"/>
  <c r="S21" i="21"/>
  <c r="N23" i="21"/>
  <c r="R23" i="21"/>
  <c r="V27" i="21"/>
  <c r="M21" i="21"/>
  <c r="S23" i="21"/>
  <c r="T29" i="21"/>
  <c r="N30" i="21"/>
  <c r="Q23" i="21"/>
  <c r="T23" i="21"/>
  <c r="P27" i="21"/>
  <c r="R30" i="21"/>
  <c r="O22" i="21"/>
  <c r="T24" i="21"/>
  <c r="U28" i="21"/>
  <c r="V26" i="21"/>
  <c r="T28" i="21"/>
  <c r="V28" i="21"/>
  <c r="U26" i="21"/>
  <c r="R22" i="21"/>
  <c r="M28" i="21"/>
  <c r="O25" i="21"/>
  <c r="O30" i="21"/>
  <c r="V30" i="21"/>
  <c r="V25" i="21"/>
  <c r="O26" i="21"/>
  <c r="U27" i="21"/>
  <c r="M22" i="21"/>
  <c r="U29" i="21"/>
  <c r="N21" i="21"/>
  <c r="N26" i="21"/>
  <c r="R25" i="21"/>
  <c r="N22" i="21"/>
  <c r="Q22" i="21"/>
  <c r="N27" i="21"/>
  <c r="U24" i="21"/>
  <c r="P26" i="21"/>
  <c r="O24" i="21"/>
  <c r="P21" i="21"/>
  <c r="U23" i="21"/>
  <c r="Q27" i="21"/>
  <c r="R28" i="21"/>
  <c r="O23" i="21"/>
  <c r="T22" i="21"/>
  <c r="S26" i="21"/>
  <c r="M23" i="21"/>
  <c r="P23" i="21"/>
  <c r="S24" i="21"/>
  <c r="R29" i="21"/>
  <c r="P29" i="21"/>
  <c r="R26" i="21"/>
  <c r="P30" i="21"/>
  <c r="S29" i="21"/>
  <c r="Q29" i="21"/>
  <c r="T21" i="21"/>
  <c r="P28" i="21"/>
  <c r="P24" i="21"/>
  <c r="Q30" i="21"/>
  <c r="V24" i="21"/>
  <c r="S27" i="21"/>
  <c r="O29" i="21"/>
  <c r="T25" i="21"/>
  <c r="S25" i="21"/>
  <c r="U21" i="21"/>
  <c r="N25" i="21"/>
  <c r="T30" i="21"/>
  <c r="N29" i="21"/>
  <c r="M30" i="21"/>
  <c r="Q25" i="21"/>
  <c r="O21" i="21"/>
  <c r="U22" i="21"/>
  <c r="Q26" i="21"/>
  <c r="M25" i="21"/>
  <c r="M29" i="21"/>
  <c r="T27" i="21"/>
  <c r="R27" i="21"/>
  <c r="R21" i="21"/>
  <c r="Q28" i="21"/>
  <c r="Q21" i="21"/>
  <c r="M27" i="21"/>
  <c r="J3" i="25"/>
  <c r="I3" i="29" a="1"/>
  <c r="I3" i="29" s="1"/>
  <c r="L3" i="32" a="1"/>
  <c r="L6" i="32" s="1"/>
  <c r="I5" i="29" l="1"/>
  <c r="B9" i="30" s="1"/>
  <c r="L4" i="32"/>
  <c r="L5" i="32"/>
  <c r="L3" i="32"/>
  <c r="E3" i="32" s="1" a="1"/>
  <c r="E4" i="32" s="1"/>
  <c r="F4" i="32" s="1"/>
  <c r="I6" i="29"/>
  <c r="B10" i="30" s="1"/>
  <c r="B7" i="30"/>
  <c r="D3" i="29" a="1"/>
  <c r="I4" i="29"/>
  <c r="B8" i="30" s="1"/>
  <c r="E3" i="32" l="1"/>
  <c r="F3" i="32" s="1"/>
  <c r="E10" i="32"/>
  <c r="F10" i="32" s="1"/>
  <c r="E8" i="32"/>
  <c r="F8" i="32" s="1"/>
  <c r="E9" i="32"/>
  <c r="F9" i="32" s="1"/>
  <c r="E7" i="32"/>
  <c r="F7" i="32" s="1"/>
  <c r="E13" i="32"/>
  <c r="F13" i="32" s="1"/>
  <c r="E11" i="32"/>
  <c r="F11" i="32" s="1"/>
  <c r="E5" i="32"/>
  <c r="F5" i="32" s="1"/>
  <c r="E6" i="32"/>
  <c r="F6" i="32" s="1"/>
  <c r="E12" i="32"/>
  <c r="F12" i="32" s="1"/>
  <c r="D11" i="29"/>
  <c r="D4" i="29"/>
  <c r="D5" i="29"/>
  <c r="D7" i="29"/>
  <c r="D6" i="29"/>
  <c r="D8" i="29"/>
  <c r="D3" i="29"/>
  <c r="D10" i="29"/>
  <c r="D9" i="29"/>
  <c r="C15" i="29"/>
  <c r="C4" i="30" s="1"/>
  <c r="C14" i="29"/>
  <c r="C3" i="30" s="1"/>
  <c r="B15" i="29" l="1"/>
  <c r="B14" i="29"/>
  <c r="B3" i="30" l="1"/>
  <c r="D14" i="29"/>
  <c r="D15" i="29"/>
  <c r="D4" i="30" s="1"/>
  <c r="C7" i="30" s="1" a="1"/>
  <c r="B4" i="30"/>
  <c r="C10" i="30" l="1"/>
  <c r="D10" i="30" s="1"/>
  <c r="E10" i="30" s="1"/>
  <c r="C9" i="30"/>
  <c r="D9" i="30" s="1"/>
  <c r="E9" i="30" s="1"/>
  <c r="C8" i="30"/>
  <c r="D8" i="30" s="1"/>
  <c r="E8" i="30" s="1"/>
  <c r="C7" i="30"/>
  <c r="D7" i="30" s="1"/>
  <c r="E7" i="30" s="1"/>
  <c r="D3" i="30"/>
  <c r="F5" i="30" s="1"/>
  <c r="E14" i="29"/>
  <c r="F14" i="29" l="1"/>
  <c r="F3" i="30" s="1"/>
  <c r="E3" i="30"/>
</calcChain>
</file>

<file path=xl/sharedStrings.xml><?xml version="1.0" encoding="utf-8"?>
<sst xmlns="http://schemas.openxmlformats.org/spreadsheetml/2006/main" count="1581" uniqueCount="652">
  <si>
    <t>A</t>
  </si>
  <si>
    <t>B</t>
  </si>
  <si>
    <t>C</t>
  </si>
  <si>
    <t>F</t>
  </si>
  <si>
    <t>K</t>
  </si>
  <si>
    <t>M</t>
  </si>
  <si>
    <t>R</t>
  </si>
  <si>
    <t>T</t>
  </si>
  <si>
    <t>Original and Normalized Data</t>
  </si>
  <si>
    <t>Calculations</t>
  </si>
  <si>
    <t>Pt</t>
  </si>
  <si>
    <t>Elevation</t>
  </si>
  <si>
    <t>Heat Flux</t>
  </si>
  <si>
    <t>Pred. H. Flux</t>
  </si>
  <si>
    <t>X Matrix</t>
  </si>
  <si>
    <t>21-pt X Matrix</t>
  </si>
  <si>
    <r>
      <t>ŷ</t>
    </r>
    <r>
      <rPr>
        <b/>
        <vertAlign val="subscript"/>
        <sz val="12"/>
        <color theme="1"/>
        <rFont val="Times New Roman"/>
        <family val="1"/>
      </rPr>
      <t xml:space="preserve"> </t>
    </r>
  </si>
  <si>
    <t>Confidence and Prediction Limits</t>
  </si>
  <si>
    <t>[m]</t>
  </si>
  <si>
    <t>[%]</t>
  </si>
  <si>
    <r>
      <t>[kW/m</t>
    </r>
    <r>
      <rPr>
        <b/>
        <vertAlign val="super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]</t>
    </r>
  </si>
  <si>
    <r>
      <rPr>
        <b/>
        <i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√V</t>
    </r>
    <r>
      <rPr>
        <b/>
        <vertAlign val="subscript"/>
        <sz val="12"/>
        <color theme="1"/>
        <rFont val="Times New Roman"/>
        <family val="1"/>
      </rPr>
      <t>c</t>
    </r>
  </si>
  <si>
    <t>LCL</t>
  </si>
  <si>
    <t>UCL</t>
  </si>
  <si>
    <r>
      <rPr>
        <b/>
        <i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√V</t>
    </r>
    <r>
      <rPr>
        <b/>
        <vertAlign val="subscript"/>
        <sz val="12"/>
        <color theme="1"/>
        <rFont val="Times New Roman"/>
        <family val="1"/>
      </rPr>
      <t>p</t>
    </r>
  </si>
  <si>
    <t>LPL</t>
  </si>
  <si>
    <t>UPL</t>
  </si>
  <si>
    <t>ANOVA</t>
  </si>
  <si>
    <r>
      <rPr>
        <b/>
        <i/>
        <sz val="12"/>
        <color theme="1"/>
        <rFont val="Times New Roman"/>
        <family val="1"/>
      </rPr>
      <t>y</t>
    </r>
    <r>
      <rPr>
        <b/>
        <vertAlign val="subscript"/>
        <sz val="12"/>
        <color theme="1"/>
        <rFont val="Times New Roman"/>
        <family val="1"/>
      </rPr>
      <t>max</t>
    </r>
  </si>
  <si>
    <r>
      <rPr>
        <b/>
        <i/>
        <sz val="12"/>
        <color theme="1"/>
        <rFont val="Times New Roman"/>
        <family val="1"/>
      </rPr>
      <t>z</t>
    </r>
    <r>
      <rPr>
        <b/>
        <vertAlign val="subscript"/>
        <sz val="12"/>
        <color theme="1"/>
        <rFont val="Times New Roman"/>
        <family val="1"/>
      </rPr>
      <t>max</t>
    </r>
    <r>
      <rPr>
        <b/>
        <sz val="12"/>
        <color theme="1"/>
        <rFont val="Times New Roman"/>
        <family val="1"/>
      </rPr>
      <t xml:space="preserve"> Vector</t>
    </r>
  </si>
  <si>
    <t>SS</t>
  </si>
  <si>
    <t>DF</t>
  </si>
  <si>
    <t>MS</t>
  </si>
  <si>
    <t>p</t>
  </si>
  <si>
    <r>
      <t>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y</t>
    </r>
  </si>
  <si>
    <r>
      <t>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</t>
    </r>
  </si>
  <si>
    <r>
      <rPr>
        <b/>
        <i/>
        <sz val="12"/>
        <color theme="1"/>
        <rFont val="Times New Roman"/>
        <family val="1"/>
      </rPr>
      <t>s</t>
    </r>
    <r>
      <rPr>
        <b/>
        <sz val="12"/>
        <color theme="1"/>
        <rFont val="Times New Roman"/>
        <family val="1"/>
      </rPr>
      <t xml:space="preserve"> =</t>
    </r>
  </si>
  <si>
    <r>
      <t>R</t>
    </r>
    <r>
      <rPr>
        <b/>
        <vertAlign val="superscript"/>
        <sz val="12"/>
        <color theme="1"/>
        <rFont val="Times New Roman"/>
        <family val="1"/>
      </rPr>
      <t>2</t>
    </r>
  </si>
  <si>
    <r>
      <rPr>
        <b/>
        <i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 xml:space="preserve"> =</t>
    </r>
  </si>
  <si>
    <t>a</t>
  </si>
  <si>
    <r>
      <t>(X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X)</t>
    </r>
    <r>
      <rPr>
        <b/>
        <vertAlign val="superscript"/>
        <sz val="12"/>
        <color theme="1"/>
        <rFont val="Times New Roman"/>
        <family val="1"/>
      </rPr>
      <t>-1</t>
    </r>
  </si>
  <si>
    <t>stdev.p</t>
  </si>
  <si>
    <t>mean</t>
  </si>
  <si>
    <t>t</t>
  </si>
  <si>
    <t>SE</t>
  </si>
  <si>
    <t>Standard Error Analysis</t>
  </si>
  <si>
    <r>
      <rPr>
        <b/>
        <i/>
        <sz val="12"/>
        <color theme="1"/>
        <rFont val="Times New Roman"/>
        <family val="1"/>
      </rPr>
      <t>R</t>
    </r>
    <r>
      <rPr>
        <b/>
        <vertAlign val="super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 xml:space="preserve"> =</t>
    </r>
  </si>
  <si>
    <t>Term</t>
  </si>
  <si>
    <t>ŷ</t>
  </si>
  <si>
    <t>SO2 [ppm]</t>
  </si>
  <si>
    <t>% Screw</t>
  </si>
  <si>
    <r>
      <rPr>
        <b/>
        <i/>
        <sz val="11"/>
        <color theme="1"/>
        <rFont val="Calibri"/>
        <family val="2"/>
        <scheme val="minor"/>
      </rPr>
      <t>s</t>
    </r>
    <r>
      <rPr>
        <b/>
        <sz val="11"/>
        <color theme="1"/>
        <rFont val="Calibri"/>
        <family val="2"/>
        <scheme val="minor"/>
      </rPr>
      <t xml:space="preserve"> =</t>
    </r>
  </si>
  <si>
    <r>
      <rPr>
        <b/>
        <i/>
        <sz val="11"/>
        <color theme="1"/>
        <rFont val="Calibri"/>
        <family val="2"/>
        <scheme val="minor"/>
      </rPr>
      <t>R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=</t>
    </r>
  </si>
  <si>
    <r>
      <t>R=E</t>
    </r>
    <r>
      <rPr>
        <b/>
        <vertAlign val="subscript"/>
        <sz val="11"/>
        <color theme="1"/>
        <rFont val="Calibri"/>
        <family val="2"/>
        <scheme val="minor"/>
      </rPr>
      <t>SP</t>
    </r>
    <r>
      <rPr>
        <b/>
        <sz val="11"/>
        <color theme="1"/>
        <rFont val="Calibri"/>
        <family val="2"/>
        <scheme val="minor"/>
      </rPr>
      <t>+E</t>
    </r>
    <r>
      <rPr>
        <b/>
        <vertAlign val="subscript"/>
        <sz val="11"/>
        <color theme="1"/>
        <rFont val="Calibri"/>
        <family val="2"/>
        <scheme val="minor"/>
      </rPr>
      <t>WP</t>
    </r>
  </si>
  <si>
    <r>
      <rPr>
        <b/>
        <i/>
        <sz val="11"/>
        <color theme="1"/>
        <rFont val="Calibri"/>
        <family val="2"/>
        <scheme val="minor"/>
      </rPr>
      <t>s</t>
    </r>
    <r>
      <rPr>
        <b/>
        <i/>
        <vertAlign val="subscript"/>
        <sz val="11"/>
        <color theme="1"/>
        <rFont val="Calibri"/>
        <family val="2"/>
        <scheme val="minor"/>
      </rPr>
      <t>WP</t>
    </r>
    <r>
      <rPr>
        <b/>
        <sz val="11"/>
        <color theme="1"/>
        <rFont val="Calibri"/>
        <family val="2"/>
        <scheme val="minor"/>
      </rPr>
      <t xml:space="preserve"> =</t>
    </r>
  </si>
  <si>
    <r>
      <t>M</t>
    </r>
    <r>
      <rPr>
        <b/>
        <vertAlign val="subscript"/>
        <sz val="11"/>
        <color theme="1"/>
        <rFont val="Calibri"/>
        <family val="2"/>
        <scheme val="minor"/>
      </rPr>
      <t xml:space="preserve">SP </t>
    </r>
    <r>
      <rPr>
        <b/>
        <sz val="11"/>
        <color theme="1"/>
        <rFont val="Calibri"/>
        <family val="2"/>
        <scheme val="minor"/>
      </rPr>
      <t>+ M</t>
    </r>
    <r>
      <rPr>
        <b/>
        <vertAlign val="subscript"/>
        <sz val="11"/>
        <color theme="1"/>
        <rFont val="Calibri"/>
        <family val="2"/>
        <scheme val="minor"/>
      </rPr>
      <t>WP</t>
    </r>
  </si>
  <si>
    <r>
      <t>E</t>
    </r>
    <r>
      <rPr>
        <b/>
        <vertAlign val="subscript"/>
        <sz val="11"/>
        <color theme="1"/>
        <rFont val="Calibri"/>
        <family val="2"/>
        <scheme val="minor"/>
      </rPr>
      <t xml:space="preserve">WP </t>
    </r>
    <r>
      <rPr>
        <b/>
        <sz val="11"/>
        <color theme="1"/>
        <rFont val="Calibri"/>
        <family val="2"/>
        <scheme val="minor"/>
      </rPr>
      <t>= K-M</t>
    </r>
    <r>
      <rPr>
        <b/>
        <vertAlign val="subscript"/>
        <sz val="11"/>
        <color theme="1"/>
        <rFont val="Calibri"/>
        <family val="2"/>
        <scheme val="minor"/>
      </rPr>
      <t>WP</t>
    </r>
  </si>
  <si>
    <r>
      <rPr>
        <i/>
        <sz val="11"/>
        <color theme="1"/>
        <rFont val="Calibri"/>
        <family val="2"/>
        <scheme val="minor"/>
      </rPr>
      <t xml:space="preserve"> F </t>
    </r>
    <r>
      <rPr>
        <sz val="12"/>
        <color theme="1"/>
        <rFont val="Calibri"/>
        <family val="2"/>
        <scheme val="minor"/>
      </rPr>
      <t>= MS</t>
    </r>
    <r>
      <rPr>
        <vertAlign val="subscript"/>
        <sz val="11"/>
        <color theme="1"/>
        <rFont val="Calibri"/>
        <family val="2"/>
        <scheme val="minor"/>
      </rPr>
      <t xml:space="preserve">WP </t>
    </r>
    <r>
      <rPr>
        <sz val="12"/>
        <color theme="1"/>
        <rFont val="Calibri"/>
        <family val="2"/>
        <scheme val="minor"/>
      </rPr>
      <t>/ MSE</t>
    </r>
    <r>
      <rPr>
        <vertAlign val="subscript"/>
        <sz val="11"/>
        <color theme="1"/>
        <rFont val="Calibri"/>
        <family val="2"/>
        <scheme val="minor"/>
      </rPr>
      <t>WP</t>
    </r>
  </si>
  <si>
    <r>
      <t>M</t>
    </r>
    <r>
      <rPr>
        <b/>
        <vertAlign val="subscript"/>
        <sz val="11"/>
        <color theme="1"/>
        <rFont val="Calibri"/>
        <family val="2"/>
        <scheme val="minor"/>
      </rPr>
      <t>WP</t>
    </r>
    <r>
      <rPr>
        <b/>
        <sz val="11"/>
        <color theme="1"/>
        <rFont val="Calibri"/>
        <family val="2"/>
        <scheme val="minor"/>
      </rPr>
      <t>: Burners</t>
    </r>
  </si>
  <si>
    <r>
      <rPr>
        <b/>
        <i/>
        <sz val="11"/>
        <color theme="1"/>
        <rFont val="Calibri"/>
        <family val="2"/>
        <scheme val="minor"/>
      </rPr>
      <t>s</t>
    </r>
    <r>
      <rPr>
        <b/>
        <i/>
        <vertAlign val="subscript"/>
        <sz val="11"/>
        <color theme="1"/>
        <rFont val="Calibri"/>
        <family val="2"/>
        <scheme val="minor"/>
      </rPr>
      <t>SP</t>
    </r>
    <r>
      <rPr>
        <b/>
        <sz val="11"/>
        <color theme="1"/>
        <rFont val="Calibri"/>
        <family val="2"/>
        <scheme val="minor"/>
      </rPr>
      <t xml:space="preserve"> =</t>
    </r>
  </si>
  <si>
    <r>
      <t>E</t>
    </r>
    <r>
      <rPr>
        <b/>
        <vertAlign val="subscript"/>
        <sz val="11"/>
        <color theme="1"/>
        <rFont val="Calibri"/>
        <family val="2"/>
        <scheme val="minor"/>
      </rPr>
      <t xml:space="preserve">SP </t>
    </r>
    <r>
      <rPr>
        <b/>
        <sz val="11"/>
        <color theme="1"/>
        <rFont val="Calibri"/>
        <family val="2"/>
        <scheme val="minor"/>
      </rPr>
      <t>= R-E</t>
    </r>
    <r>
      <rPr>
        <b/>
        <vertAlign val="subscript"/>
        <sz val="11"/>
        <color theme="1"/>
        <rFont val="Calibri"/>
        <family val="2"/>
        <scheme val="minor"/>
      </rPr>
      <t>WP</t>
    </r>
  </si>
  <si>
    <r>
      <rPr>
        <i/>
        <sz val="11"/>
        <color theme="1"/>
        <rFont val="Calibri"/>
        <family val="2"/>
        <scheme val="minor"/>
      </rPr>
      <t xml:space="preserve"> F </t>
    </r>
    <r>
      <rPr>
        <sz val="12"/>
        <color theme="1"/>
        <rFont val="Calibri"/>
        <family val="2"/>
        <scheme val="minor"/>
      </rPr>
      <t>= MSM</t>
    </r>
    <r>
      <rPr>
        <vertAlign val="subscript"/>
        <sz val="11"/>
        <color theme="1"/>
        <rFont val="Calibri"/>
        <family val="2"/>
        <scheme val="minor"/>
      </rPr>
      <t xml:space="preserve">SP </t>
    </r>
    <r>
      <rPr>
        <sz val="12"/>
        <color theme="1"/>
        <rFont val="Calibri"/>
        <family val="2"/>
        <scheme val="minor"/>
      </rPr>
      <t>/ MSE</t>
    </r>
    <r>
      <rPr>
        <vertAlign val="subscript"/>
        <sz val="11"/>
        <color theme="1"/>
        <rFont val="Calibri"/>
        <family val="2"/>
        <scheme val="minor"/>
      </rPr>
      <t>SP</t>
    </r>
  </si>
  <si>
    <r>
      <t>M</t>
    </r>
    <r>
      <rPr>
        <b/>
        <vertAlign val="subscript"/>
        <sz val="11"/>
        <color theme="1"/>
        <rFont val="Calibri"/>
        <family val="2"/>
        <scheme val="minor"/>
      </rPr>
      <t>SP</t>
    </r>
  </si>
  <si>
    <r>
      <rPr>
        <i/>
        <sz val="11"/>
        <color theme="1"/>
        <rFont val="Calibri"/>
        <family val="2"/>
        <scheme val="minor"/>
      </rPr>
      <t xml:space="preserve"> F </t>
    </r>
    <r>
      <rPr>
        <sz val="12"/>
        <color theme="1"/>
        <rFont val="Calibri"/>
        <family val="2"/>
        <scheme val="minor"/>
      </rPr>
      <t>= MS</t>
    </r>
    <r>
      <rPr>
        <vertAlign val="subscript"/>
        <sz val="11"/>
        <color theme="1"/>
        <rFont val="Calibri"/>
        <family val="2"/>
        <scheme val="minor"/>
      </rPr>
      <t xml:space="preserve">O2xFR </t>
    </r>
    <r>
      <rPr>
        <sz val="12"/>
        <color theme="1"/>
        <rFont val="Calibri"/>
        <family val="2"/>
        <scheme val="minor"/>
      </rPr>
      <t>/ MS</t>
    </r>
    <r>
      <rPr>
        <vertAlign val="subscript"/>
        <sz val="11"/>
        <color theme="1"/>
        <rFont val="Calibri"/>
        <family val="2"/>
        <scheme val="minor"/>
      </rPr>
      <t>SP</t>
    </r>
  </si>
  <si>
    <t>O2*FR</t>
  </si>
  <si>
    <r>
      <rPr>
        <i/>
        <sz val="11"/>
        <color theme="1"/>
        <rFont val="Calibri"/>
        <family val="2"/>
        <scheme val="minor"/>
      </rPr>
      <t xml:space="preserve"> F </t>
    </r>
    <r>
      <rPr>
        <sz val="12"/>
        <color theme="1"/>
        <rFont val="Calibri"/>
        <family val="2"/>
        <scheme val="minor"/>
      </rPr>
      <t>= MS</t>
    </r>
    <r>
      <rPr>
        <vertAlign val="subscript"/>
        <sz val="11"/>
        <color theme="1"/>
        <rFont val="Calibri"/>
        <family val="2"/>
        <scheme val="minor"/>
      </rPr>
      <t xml:space="preserve">O2 </t>
    </r>
    <r>
      <rPr>
        <sz val="12"/>
        <color theme="1"/>
        <rFont val="Calibri"/>
        <family val="2"/>
        <scheme val="minor"/>
      </rPr>
      <t>/ MS</t>
    </r>
    <r>
      <rPr>
        <vertAlign val="subscript"/>
        <sz val="11"/>
        <color theme="1"/>
        <rFont val="Calibri"/>
        <family val="2"/>
        <scheme val="minor"/>
      </rPr>
      <t>SP</t>
    </r>
  </si>
  <si>
    <t>O2</t>
  </si>
  <si>
    <r>
      <rPr>
        <i/>
        <sz val="11"/>
        <color theme="1"/>
        <rFont val="Calibri"/>
        <family val="2"/>
        <scheme val="minor"/>
      </rPr>
      <t xml:space="preserve"> F </t>
    </r>
    <r>
      <rPr>
        <sz val="12"/>
        <color theme="1"/>
        <rFont val="Calibri"/>
        <family val="2"/>
        <scheme val="minor"/>
      </rPr>
      <t>= MS</t>
    </r>
    <r>
      <rPr>
        <vertAlign val="subscript"/>
        <sz val="11"/>
        <color theme="1"/>
        <rFont val="Calibri"/>
        <family val="2"/>
        <scheme val="minor"/>
      </rPr>
      <t xml:space="preserve">FR </t>
    </r>
    <r>
      <rPr>
        <sz val="12"/>
        <color theme="1"/>
        <rFont val="Calibri"/>
        <family val="2"/>
        <scheme val="minor"/>
      </rPr>
      <t>/ MS</t>
    </r>
    <r>
      <rPr>
        <vertAlign val="subscript"/>
        <sz val="11"/>
        <color theme="1"/>
        <rFont val="Calibri"/>
        <family val="2"/>
        <scheme val="minor"/>
      </rPr>
      <t>SP</t>
    </r>
  </si>
  <si>
    <t>FR</t>
  </si>
  <si>
    <t>Notes</t>
  </si>
  <si>
    <r>
      <rPr>
        <b/>
        <i/>
        <sz val="11"/>
        <color theme="1"/>
        <rFont val="Calibri"/>
        <family val="2"/>
        <scheme val="minor"/>
      </rPr>
      <t>p</t>
    </r>
    <r>
      <rPr>
        <b/>
        <sz val="11"/>
        <color theme="1"/>
        <rFont val="Garamond"/>
        <family val="1"/>
      </rPr>
      <t>≤0.05</t>
    </r>
  </si>
  <si>
    <t>Source</t>
  </si>
  <si>
    <t>FRxO2</t>
  </si>
  <si>
    <t>Alt Models</t>
  </si>
  <si>
    <r>
      <t>(X</t>
    </r>
    <r>
      <rPr>
        <b/>
        <vertAlign val="super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>X)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 xml:space="preserve"> Matrix</t>
    </r>
  </si>
  <si>
    <t>FR x O2</t>
  </si>
  <si>
    <t>Burner</t>
  </si>
  <si>
    <t>FL</t>
  </si>
  <si>
    <t>WP/K</t>
  </si>
  <si>
    <t>Pt.</t>
  </si>
  <si>
    <r>
      <t>X</t>
    </r>
    <r>
      <rPr>
        <b/>
        <vertAlign val="super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>y</t>
    </r>
  </si>
  <si>
    <r>
      <t>X</t>
    </r>
    <r>
      <rPr>
        <b/>
        <vertAlign val="super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>X Matrix</t>
    </r>
  </si>
  <si>
    <t>Block</t>
  </si>
  <si>
    <t>Pred</t>
  </si>
  <si>
    <t>Original Data</t>
  </si>
  <si>
    <t>Extrem.</t>
  </si>
  <si>
    <t>Coeff.</t>
  </si>
  <si>
    <t>step</t>
  </si>
  <si>
    <t>Stdev</t>
  </si>
  <si>
    <t>PI</t>
  </si>
  <si>
    <t>CI</t>
  </si>
  <si>
    <t>v</t>
  </si>
  <si>
    <t>u</t>
  </si>
  <si>
    <t>Mean</t>
  </si>
  <si>
    <t>Incremented Values</t>
  </si>
  <si>
    <t>22. O2 x O2</t>
  </si>
  <si>
    <t>4. OFA</t>
  </si>
  <si>
    <t>3. FGR</t>
  </si>
  <si>
    <t>2. O2</t>
  </si>
  <si>
    <t>1. FS</t>
  </si>
  <si>
    <t>NA</t>
  </si>
  <si>
    <t>VIF</t>
  </si>
  <si>
    <t>Sig?</t>
  </si>
  <si>
    <r>
      <t>b</t>
    </r>
    <r>
      <rPr>
        <b/>
        <i/>
        <vertAlign val="subscript"/>
        <sz val="11"/>
        <color theme="1"/>
        <rFont val="Times New Roman"/>
        <family val="1"/>
      </rPr>
      <t>j</t>
    </r>
  </si>
  <si>
    <r>
      <t>a</t>
    </r>
    <r>
      <rPr>
        <b/>
        <i/>
        <vertAlign val="subscript"/>
        <sz val="11"/>
        <color theme="1"/>
        <rFont val="Times New Roman"/>
        <family val="1"/>
      </rPr>
      <t>j</t>
    </r>
  </si>
  <si>
    <r>
      <t>x</t>
    </r>
    <r>
      <rPr>
        <b/>
        <vertAlign val="subscript"/>
        <sz val="11"/>
        <color theme="1"/>
        <rFont val="Times New Roman"/>
        <family val="1"/>
      </rPr>
      <t>SV</t>
    </r>
  </si>
  <si>
    <t>Factor</t>
  </si>
  <si>
    <t>λ</t>
  </si>
  <si>
    <t>Effect Tests</t>
  </si>
  <si>
    <r>
      <t>t</t>
    </r>
    <r>
      <rPr>
        <b/>
        <vertAlign val="subscript"/>
        <sz val="11"/>
        <color theme="1"/>
        <rFont val="Times New Roman"/>
        <family val="1"/>
      </rPr>
      <t>crit</t>
    </r>
  </si>
  <si>
    <r>
      <rPr>
        <i/>
        <sz val="11"/>
        <color theme="1"/>
        <rFont val="Times New Roman"/>
        <family val="1"/>
      </rPr>
      <t>R</t>
    </r>
    <r>
      <rPr>
        <vertAlign val="superscript"/>
        <sz val="11"/>
        <color theme="1"/>
        <rFont val="Times New Roman"/>
        <family val="1"/>
      </rPr>
      <t xml:space="preserve">2 </t>
    </r>
    <r>
      <rPr>
        <sz val="11"/>
        <color theme="1"/>
        <rFont val="Times New Roman"/>
        <family val="1"/>
      </rPr>
      <t>=</t>
    </r>
  </si>
  <si>
    <r>
      <rPr>
        <i/>
        <sz val="11"/>
        <color theme="1"/>
        <rFont val="Times New Roman"/>
        <family val="1"/>
      </rPr>
      <t>s</t>
    </r>
    <r>
      <rPr>
        <vertAlign val="superscript"/>
        <sz val="11"/>
        <color theme="1"/>
        <rFont val="Times New Roman"/>
        <family val="1"/>
      </rPr>
      <t xml:space="preserve"> </t>
    </r>
    <r>
      <rPr>
        <sz val="11"/>
        <color theme="1"/>
        <rFont val="Times New Roman"/>
        <family val="1"/>
      </rPr>
      <t>=</t>
    </r>
  </si>
  <si>
    <r>
      <t>22. O2</t>
    </r>
    <r>
      <rPr>
        <b/>
        <vertAlign val="superscript"/>
        <sz val="11"/>
        <color theme="1"/>
        <rFont val="Times New Roman"/>
        <family val="1"/>
      </rPr>
      <t>2</t>
    </r>
  </si>
  <si>
    <t>vj</t>
  </si>
  <si>
    <t>uj</t>
  </si>
  <si>
    <t>NOx</t>
  </si>
  <si>
    <r>
      <t>X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y</t>
    </r>
  </si>
  <si>
    <r>
      <t>(X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X)</t>
    </r>
    <r>
      <rPr>
        <b/>
        <vertAlign val="superscript"/>
        <sz val="11"/>
        <color theme="1"/>
        <rFont val="Times New Roman"/>
        <family val="1"/>
      </rPr>
      <t>-1</t>
    </r>
  </si>
  <si>
    <t>Leverage Regressions</t>
  </si>
  <si>
    <t>Responses</t>
  </si>
  <si>
    <t>UPLs</t>
  </si>
  <si>
    <t>LPLs</t>
  </si>
  <si>
    <t>UCLs</t>
  </si>
  <si>
    <t>LCLs</t>
  </si>
  <si>
    <t>Prediction Intervals</t>
  </si>
  <si>
    <t>Confidence Intervals</t>
  </si>
  <si>
    <t xml:space="preserve">Incremental v̂ </t>
  </si>
  <si>
    <t>Step</t>
  </si>
  <si>
    <t>Max</t>
  </si>
  <si>
    <t>Min</t>
  </si>
  <si>
    <r>
      <t>1/</t>
    </r>
    <r>
      <rPr>
        <b/>
        <sz val="11"/>
        <color theme="1"/>
        <rFont val="Garamond"/>
        <family val="1"/>
      </rPr>
      <t>Σu</t>
    </r>
    <r>
      <rPr>
        <b/>
        <vertAlign val="subscript"/>
        <sz val="11"/>
        <color theme="1"/>
        <rFont val="Garamond"/>
        <family val="1"/>
      </rPr>
      <t>x</t>
    </r>
    <r>
      <rPr>
        <b/>
        <vertAlign val="superscript"/>
        <sz val="11"/>
        <color theme="1"/>
        <rFont val="Garamond"/>
        <family val="1"/>
      </rPr>
      <t>2</t>
    </r>
  </si>
  <si>
    <r>
      <t>v̂</t>
    </r>
    <r>
      <rPr>
        <b/>
        <vertAlign val="subscript"/>
        <sz val="11"/>
        <color theme="1"/>
        <rFont val="Times New Roman"/>
        <family val="1"/>
      </rPr>
      <t>4</t>
    </r>
  </si>
  <si>
    <r>
      <t>v̂</t>
    </r>
    <r>
      <rPr>
        <b/>
        <vertAlign val="subscript"/>
        <sz val="11"/>
        <color theme="1"/>
        <rFont val="Times New Roman"/>
        <family val="1"/>
      </rPr>
      <t>3</t>
    </r>
  </si>
  <si>
    <r>
      <t>v̂</t>
    </r>
    <r>
      <rPr>
        <b/>
        <vertAlign val="subscript"/>
        <sz val="11"/>
        <color theme="1"/>
        <rFont val="Times New Roman"/>
        <family val="1"/>
      </rPr>
      <t>2</t>
    </r>
  </si>
  <si>
    <r>
      <t>v̂</t>
    </r>
    <r>
      <rPr>
        <b/>
        <vertAlign val="subscript"/>
        <sz val="11"/>
        <color theme="1"/>
        <rFont val="Times New Roman"/>
        <family val="1"/>
      </rPr>
      <t>1</t>
    </r>
  </si>
  <si>
    <r>
      <t>u</t>
    </r>
    <r>
      <rPr>
        <b/>
        <vertAlign val="subscript"/>
        <sz val="11"/>
        <color theme="1"/>
        <rFont val="Times New Roman"/>
        <family val="1"/>
      </rPr>
      <t>5</t>
    </r>
  </si>
  <si>
    <r>
      <t>u</t>
    </r>
    <r>
      <rPr>
        <b/>
        <vertAlign val="subscript"/>
        <sz val="11"/>
        <color theme="1"/>
        <rFont val="Times New Roman"/>
        <family val="1"/>
      </rPr>
      <t>4</t>
    </r>
  </si>
  <si>
    <r>
      <t>u</t>
    </r>
    <r>
      <rPr>
        <b/>
        <vertAlign val="subscript"/>
        <sz val="11"/>
        <color theme="1"/>
        <rFont val="Times New Roman"/>
        <family val="1"/>
      </rPr>
      <t>3</t>
    </r>
  </si>
  <si>
    <r>
      <t>u</t>
    </r>
    <r>
      <rPr>
        <b/>
        <vertAlign val="subscript"/>
        <sz val="11"/>
        <color theme="1"/>
        <rFont val="Times New Roman"/>
        <family val="1"/>
      </rPr>
      <t>2</t>
    </r>
  </si>
  <si>
    <r>
      <t>u</t>
    </r>
    <r>
      <rPr>
        <b/>
        <vertAlign val="subscript"/>
        <sz val="11"/>
        <color theme="1"/>
        <rFont val="Times New Roman"/>
        <family val="1"/>
      </rPr>
      <t>1</t>
    </r>
  </si>
  <si>
    <t>1/n</t>
  </si>
  <si>
    <t>Graphical</t>
  </si>
  <si>
    <r>
      <t>c</t>
    </r>
    <r>
      <rPr>
        <vertAlign val="subscript"/>
        <sz val="11"/>
        <color theme="1"/>
        <rFont val="Times New Roman"/>
        <family val="1"/>
      </rPr>
      <t>1</t>
    </r>
  </si>
  <si>
    <r>
      <t>c</t>
    </r>
    <r>
      <rPr>
        <vertAlign val="subscript"/>
        <sz val="11"/>
        <color theme="1"/>
        <rFont val="Times New Roman"/>
        <family val="1"/>
      </rPr>
      <t>0</t>
    </r>
  </si>
  <si>
    <t>stdev</t>
  </si>
  <si>
    <r>
      <t>b</t>
    </r>
    <r>
      <rPr>
        <b/>
        <vertAlign val="subscript"/>
        <sz val="11"/>
        <color theme="1"/>
        <rFont val="Times New Roman"/>
        <family val="1"/>
      </rPr>
      <t>22</t>
    </r>
  </si>
  <si>
    <r>
      <t>X</t>
    </r>
    <r>
      <rPr>
        <b/>
        <vertAlign val="subscript"/>
        <sz val="11"/>
        <color theme="1"/>
        <rFont val="Times New Roman"/>
        <family val="1"/>
      </rPr>
      <t>-22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y</t>
    </r>
  </si>
  <si>
    <r>
      <t>a</t>
    </r>
    <r>
      <rPr>
        <b/>
        <vertAlign val="subscript"/>
        <sz val="11"/>
        <color theme="1"/>
        <rFont val="Times New Roman"/>
        <family val="1"/>
      </rPr>
      <t>22</t>
    </r>
  </si>
  <si>
    <r>
      <t>X</t>
    </r>
    <r>
      <rPr>
        <b/>
        <vertAlign val="subscript"/>
        <sz val="11"/>
        <color theme="1"/>
        <rFont val="Times New Roman"/>
        <family val="1"/>
      </rPr>
      <t>-5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5</t>
    </r>
  </si>
  <si>
    <t>Leverage Vectors</t>
  </si>
  <si>
    <r>
      <t>(X</t>
    </r>
    <r>
      <rPr>
        <b/>
        <vertAlign val="subscript"/>
        <sz val="11"/>
        <color theme="1"/>
        <rFont val="Times New Roman"/>
        <family val="1"/>
      </rPr>
      <t>-22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-22</t>
    </r>
    <r>
      <rPr>
        <b/>
        <sz val="11"/>
        <color theme="1"/>
        <rFont val="Times New Roman"/>
        <family val="1"/>
      </rPr>
      <t>)</t>
    </r>
    <r>
      <rPr>
        <b/>
        <vertAlign val="superscript"/>
        <sz val="11"/>
        <color theme="1"/>
        <rFont val="Times New Roman"/>
        <family val="1"/>
      </rPr>
      <t>-1</t>
    </r>
  </si>
  <si>
    <r>
      <t>b</t>
    </r>
    <r>
      <rPr>
        <b/>
        <vertAlign val="subscript"/>
        <sz val="11"/>
        <color theme="1"/>
        <rFont val="Times New Roman"/>
        <family val="1"/>
      </rPr>
      <t>4</t>
    </r>
  </si>
  <si>
    <r>
      <t>X</t>
    </r>
    <r>
      <rPr>
        <b/>
        <vertAlign val="subscript"/>
        <sz val="11"/>
        <color theme="1"/>
        <rFont val="Times New Roman"/>
        <family val="1"/>
      </rPr>
      <t>-4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y</t>
    </r>
  </si>
  <si>
    <r>
      <t>a</t>
    </r>
    <r>
      <rPr>
        <b/>
        <vertAlign val="subscript"/>
        <sz val="11"/>
        <color theme="1"/>
        <rFont val="Times New Roman"/>
        <family val="1"/>
      </rPr>
      <t>4</t>
    </r>
  </si>
  <si>
    <r>
      <t>X</t>
    </r>
    <r>
      <rPr>
        <b/>
        <vertAlign val="subscript"/>
        <sz val="11"/>
        <color theme="1"/>
        <rFont val="Times New Roman"/>
        <family val="1"/>
      </rPr>
      <t>-4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4</t>
    </r>
  </si>
  <si>
    <r>
      <t>(X</t>
    </r>
    <r>
      <rPr>
        <b/>
        <vertAlign val="subscript"/>
        <sz val="11"/>
        <color theme="1"/>
        <rFont val="Times New Roman"/>
        <family val="1"/>
      </rPr>
      <t>-4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-4</t>
    </r>
    <r>
      <rPr>
        <b/>
        <sz val="11"/>
        <color theme="1"/>
        <rFont val="Times New Roman"/>
        <family val="1"/>
      </rPr>
      <t>)</t>
    </r>
    <r>
      <rPr>
        <b/>
        <vertAlign val="superscript"/>
        <sz val="11"/>
        <color theme="1"/>
        <rFont val="Times New Roman"/>
        <family val="1"/>
      </rPr>
      <t>-1</t>
    </r>
  </si>
  <si>
    <r>
      <t>b</t>
    </r>
    <r>
      <rPr>
        <b/>
        <vertAlign val="subscript"/>
        <sz val="11"/>
        <color theme="1"/>
        <rFont val="Times New Roman"/>
        <family val="1"/>
      </rPr>
      <t>3</t>
    </r>
  </si>
  <si>
    <r>
      <t>X</t>
    </r>
    <r>
      <rPr>
        <b/>
        <vertAlign val="subscript"/>
        <sz val="11"/>
        <color theme="1"/>
        <rFont val="Times New Roman"/>
        <family val="1"/>
      </rPr>
      <t>-3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y</t>
    </r>
  </si>
  <si>
    <r>
      <t>a</t>
    </r>
    <r>
      <rPr>
        <b/>
        <vertAlign val="subscript"/>
        <sz val="11"/>
        <color theme="1"/>
        <rFont val="Times New Roman"/>
        <family val="1"/>
      </rPr>
      <t>3</t>
    </r>
  </si>
  <si>
    <r>
      <t>X</t>
    </r>
    <r>
      <rPr>
        <b/>
        <vertAlign val="subscript"/>
        <sz val="11"/>
        <color theme="1"/>
        <rFont val="Times New Roman"/>
        <family val="1"/>
      </rPr>
      <t>-3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3</t>
    </r>
  </si>
  <si>
    <r>
      <t>(X</t>
    </r>
    <r>
      <rPr>
        <b/>
        <vertAlign val="subscript"/>
        <sz val="11"/>
        <color theme="1"/>
        <rFont val="Times New Roman"/>
        <family val="1"/>
      </rPr>
      <t>-3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-3</t>
    </r>
    <r>
      <rPr>
        <b/>
        <sz val="11"/>
        <color theme="1"/>
        <rFont val="Times New Roman"/>
        <family val="1"/>
      </rPr>
      <t>)</t>
    </r>
    <r>
      <rPr>
        <b/>
        <vertAlign val="superscript"/>
        <sz val="11"/>
        <color theme="1"/>
        <rFont val="Times New Roman"/>
        <family val="1"/>
      </rPr>
      <t>-1</t>
    </r>
  </si>
  <si>
    <r>
      <t>b</t>
    </r>
    <r>
      <rPr>
        <b/>
        <vertAlign val="subscript"/>
        <sz val="11"/>
        <color theme="1"/>
        <rFont val="Times New Roman"/>
        <family val="1"/>
      </rPr>
      <t>2</t>
    </r>
  </si>
  <si>
    <r>
      <t>X</t>
    </r>
    <r>
      <rPr>
        <b/>
        <vertAlign val="subscript"/>
        <sz val="11"/>
        <color theme="1"/>
        <rFont val="Times New Roman"/>
        <family val="1"/>
      </rPr>
      <t>-2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y</t>
    </r>
  </si>
  <si>
    <r>
      <t>a</t>
    </r>
    <r>
      <rPr>
        <b/>
        <vertAlign val="subscript"/>
        <sz val="11"/>
        <color theme="1"/>
        <rFont val="Times New Roman"/>
        <family val="1"/>
      </rPr>
      <t>2</t>
    </r>
  </si>
  <si>
    <r>
      <t>X</t>
    </r>
    <r>
      <rPr>
        <b/>
        <vertAlign val="subscript"/>
        <sz val="11"/>
        <color theme="1"/>
        <rFont val="Times New Roman"/>
        <family val="1"/>
      </rPr>
      <t>-2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2</t>
    </r>
  </si>
  <si>
    <r>
      <rPr>
        <i/>
        <sz val="11"/>
        <color theme="1"/>
        <rFont val="Times New Roman"/>
        <family val="1"/>
      </rPr>
      <t>t</t>
    </r>
    <r>
      <rPr>
        <vertAlign val="subscript"/>
        <sz val="11"/>
        <color theme="1"/>
        <rFont val="Times New Roman"/>
        <family val="1"/>
      </rPr>
      <t>crit</t>
    </r>
  </si>
  <si>
    <r>
      <t>(X</t>
    </r>
    <r>
      <rPr>
        <b/>
        <vertAlign val="subscript"/>
        <sz val="11"/>
        <color theme="1"/>
        <rFont val="Times New Roman"/>
        <family val="1"/>
      </rPr>
      <t>-2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-2</t>
    </r>
    <r>
      <rPr>
        <b/>
        <sz val="11"/>
        <color theme="1"/>
        <rFont val="Times New Roman"/>
        <family val="1"/>
      </rPr>
      <t>)</t>
    </r>
    <r>
      <rPr>
        <b/>
        <vertAlign val="superscript"/>
        <sz val="11"/>
        <color theme="1"/>
        <rFont val="Times New Roman"/>
        <family val="1"/>
      </rPr>
      <t>-1</t>
    </r>
  </si>
  <si>
    <r>
      <t>v</t>
    </r>
    <r>
      <rPr>
        <b/>
        <vertAlign val="subscript"/>
        <sz val="11"/>
        <color theme="1"/>
        <rFont val="Times New Roman"/>
        <family val="1"/>
      </rPr>
      <t>22</t>
    </r>
  </si>
  <si>
    <r>
      <t>v</t>
    </r>
    <r>
      <rPr>
        <b/>
        <vertAlign val="subscript"/>
        <sz val="11"/>
        <color theme="1"/>
        <rFont val="Times New Roman"/>
        <family val="1"/>
      </rPr>
      <t>4</t>
    </r>
  </si>
  <si>
    <r>
      <t>v</t>
    </r>
    <r>
      <rPr>
        <b/>
        <vertAlign val="subscript"/>
        <sz val="11"/>
        <color theme="1"/>
        <rFont val="Times New Roman"/>
        <family val="1"/>
      </rPr>
      <t>3</t>
    </r>
  </si>
  <si>
    <r>
      <t>v</t>
    </r>
    <r>
      <rPr>
        <b/>
        <vertAlign val="subscript"/>
        <sz val="11"/>
        <color theme="1"/>
        <rFont val="Times New Roman"/>
        <family val="1"/>
      </rPr>
      <t>2</t>
    </r>
  </si>
  <si>
    <r>
      <t>v</t>
    </r>
    <r>
      <rPr>
        <b/>
        <vertAlign val="subscript"/>
        <sz val="11"/>
        <color theme="1"/>
        <rFont val="Times New Roman"/>
        <family val="1"/>
      </rPr>
      <t>1</t>
    </r>
  </si>
  <si>
    <r>
      <t>u</t>
    </r>
    <r>
      <rPr>
        <b/>
        <vertAlign val="subscript"/>
        <sz val="11"/>
        <color theme="1"/>
        <rFont val="Times New Roman"/>
        <family val="1"/>
      </rPr>
      <t>22</t>
    </r>
  </si>
  <si>
    <r>
      <t>b</t>
    </r>
    <r>
      <rPr>
        <b/>
        <vertAlign val="subscript"/>
        <sz val="11"/>
        <color theme="1"/>
        <rFont val="Times New Roman"/>
        <family val="1"/>
      </rPr>
      <t>1</t>
    </r>
  </si>
  <si>
    <r>
      <t>X</t>
    </r>
    <r>
      <rPr>
        <b/>
        <vertAlign val="subscript"/>
        <sz val="11"/>
        <color theme="1"/>
        <rFont val="Times New Roman"/>
        <family val="1"/>
      </rPr>
      <t>-1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y</t>
    </r>
  </si>
  <si>
    <r>
      <t>a</t>
    </r>
    <r>
      <rPr>
        <b/>
        <vertAlign val="subscript"/>
        <sz val="11"/>
        <color theme="1"/>
        <rFont val="Times New Roman"/>
        <family val="1"/>
      </rPr>
      <t>1</t>
    </r>
  </si>
  <si>
    <r>
      <t>X</t>
    </r>
    <r>
      <rPr>
        <b/>
        <vertAlign val="subscript"/>
        <sz val="11"/>
        <color theme="1"/>
        <rFont val="Times New Roman"/>
        <family val="1"/>
      </rPr>
      <t>-1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1</t>
    </r>
  </si>
  <si>
    <t>NOx,c [ppm]</t>
  </si>
  <si>
    <r>
      <t>u</t>
    </r>
    <r>
      <rPr>
        <b/>
        <i/>
        <vertAlign val="subscript"/>
        <sz val="11"/>
        <color theme="1"/>
        <rFont val="Times New Roman"/>
        <family val="1"/>
      </rPr>
      <t>j</t>
    </r>
    <r>
      <rPr>
        <b/>
        <sz val="11"/>
        <color theme="1"/>
        <rFont val="Times New Roman"/>
        <family val="1"/>
      </rPr>
      <t xml:space="preserve"> and v</t>
    </r>
    <r>
      <rPr>
        <b/>
        <i/>
        <vertAlign val="subscript"/>
        <sz val="11"/>
        <color theme="1"/>
        <rFont val="Times New Roman"/>
        <family val="1"/>
      </rPr>
      <t>j</t>
    </r>
    <r>
      <rPr>
        <b/>
        <sz val="11"/>
        <color theme="1"/>
        <rFont val="Times New Roman"/>
        <family val="1"/>
      </rPr>
      <t xml:space="preserve"> Vectors</t>
    </r>
  </si>
  <si>
    <r>
      <t>(X</t>
    </r>
    <r>
      <rPr>
        <b/>
        <vertAlign val="subscript"/>
        <sz val="11"/>
        <color theme="1"/>
        <rFont val="Times New Roman"/>
        <family val="1"/>
      </rPr>
      <t>-1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-1</t>
    </r>
    <r>
      <rPr>
        <b/>
        <sz val="11"/>
        <color theme="1"/>
        <rFont val="Times New Roman"/>
        <family val="1"/>
      </rPr>
      <t>)</t>
    </r>
    <r>
      <rPr>
        <b/>
        <vertAlign val="superscript"/>
        <sz val="11"/>
        <color theme="1"/>
        <rFont val="Times New Roman"/>
        <family val="1"/>
      </rPr>
      <t>-1</t>
    </r>
  </si>
  <si>
    <t>X Permutations</t>
  </si>
  <si>
    <t>*</t>
  </si>
  <si>
    <t>1. FR</t>
  </si>
  <si>
    <t>S.E.</t>
  </si>
  <si>
    <t>β</t>
  </si>
  <si>
    <t>22*</t>
  </si>
  <si>
    <t>11*</t>
  </si>
  <si>
    <t>12*</t>
  </si>
  <si>
    <t>2*</t>
  </si>
  <si>
    <t>1*</t>
  </si>
  <si>
    <r>
      <t>(X</t>
    </r>
    <r>
      <rPr>
        <b/>
        <vertAlign val="superscript"/>
        <sz val="12"/>
        <color theme="1"/>
        <rFont val="Times New Roman"/>
        <family val="1"/>
      </rPr>
      <t>*T</t>
    </r>
    <r>
      <rPr>
        <b/>
        <sz val="12"/>
        <color theme="1"/>
        <rFont val="Times New Roman"/>
        <family val="1"/>
      </rPr>
      <t>X</t>
    </r>
    <r>
      <rPr>
        <b/>
        <vertAlign val="superscript"/>
        <sz val="12"/>
        <color theme="1"/>
        <rFont val="Times New Roman"/>
        <family val="1"/>
      </rPr>
      <t>*</t>
    </r>
    <r>
      <rPr>
        <b/>
        <sz val="12"/>
        <color theme="1"/>
        <rFont val="Times New Roman"/>
        <family val="1"/>
      </rPr>
      <t>)</t>
    </r>
    <r>
      <rPr>
        <b/>
        <vertAlign val="superscript"/>
        <sz val="12"/>
        <color theme="1"/>
        <rFont val="Times New Roman"/>
        <family val="1"/>
      </rPr>
      <t>-1</t>
    </r>
  </si>
  <si>
    <r>
      <rPr>
        <i/>
        <sz val="12"/>
        <color theme="1"/>
        <rFont val="Times New Roman"/>
        <family val="1"/>
      </rPr>
      <t>s</t>
    </r>
    <r>
      <rPr>
        <sz val="12"/>
        <color theme="1"/>
        <rFont val="Times New Roman"/>
        <family val="1"/>
      </rPr>
      <t xml:space="preserve"> =</t>
    </r>
  </si>
  <si>
    <r>
      <rPr>
        <i/>
        <sz val="12"/>
        <color theme="1"/>
        <rFont val="Times New Roman"/>
        <family val="1"/>
      </rPr>
      <t>R</t>
    </r>
    <r>
      <rPr>
        <vertAlign val="superscript"/>
        <sz val="12"/>
        <color theme="1"/>
        <rFont val="Times New Roman"/>
        <family val="1"/>
      </rPr>
      <t xml:space="preserve">2 </t>
    </r>
    <r>
      <rPr>
        <sz val="12"/>
        <color theme="1"/>
        <rFont val="Times New Roman"/>
        <family val="1"/>
      </rPr>
      <t>=</t>
    </r>
  </si>
  <si>
    <r>
      <t>X</t>
    </r>
    <r>
      <rPr>
        <b/>
        <vertAlign val="superscript"/>
        <sz val="12"/>
        <color theme="1"/>
        <rFont val="Times New Roman"/>
        <family val="1"/>
      </rPr>
      <t>*T</t>
    </r>
    <r>
      <rPr>
        <b/>
        <sz val="12"/>
        <color theme="1"/>
        <rFont val="Times New Roman"/>
        <family val="1"/>
      </rPr>
      <t>y</t>
    </r>
    <r>
      <rPr>
        <b/>
        <vertAlign val="superscript"/>
        <sz val="12"/>
        <color theme="1"/>
        <rFont val="Times New Roman"/>
        <family val="1"/>
      </rPr>
      <t>*</t>
    </r>
  </si>
  <si>
    <r>
      <t>X</t>
    </r>
    <r>
      <rPr>
        <b/>
        <vertAlign val="superscript"/>
        <sz val="12"/>
        <color theme="1"/>
        <rFont val="Times New Roman"/>
        <family val="1"/>
      </rPr>
      <t>*T</t>
    </r>
    <r>
      <rPr>
        <b/>
        <sz val="12"/>
        <color theme="1"/>
        <rFont val="Times New Roman"/>
        <family val="1"/>
      </rPr>
      <t>X</t>
    </r>
    <r>
      <rPr>
        <b/>
        <vertAlign val="superscript"/>
        <sz val="12"/>
        <color theme="1"/>
        <rFont val="Times New Roman"/>
        <family val="1"/>
      </rPr>
      <t>*</t>
    </r>
    <r>
      <rPr>
        <b/>
        <sz val="12"/>
        <color theme="1"/>
        <rFont val="Times New Roman"/>
        <family val="1"/>
      </rPr>
      <t xml:space="preserve"> Matrix</t>
    </r>
  </si>
  <si>
    <t>[MW]</t>
  </si>
  <si>
    <r>
      <t>ŷ</t>
    </r>
    <r>
      <rPr>
        <b/>
        <vertAlign val="superscript"/>
        <sz val="12"/>
        <color theme="1"/>
        <rFont val="Times New Roman"/>
        <family val="1"/>
      </rPr>
      <t>*</t>
    </r>
    <r>
      <rPr>
        <b/>
        <vertAlign val="subscript"/>
        <sz val="12"/>
        <color theme="1"/>
        <rFont val="Times New Roman"/>
        <family val="1"/>
      </rPr>
      <t xml:space="preserve"> </t>
    </r>
  </si>
  <si>
    <r>
      <t>X</t>
    </r>
    <r>
      <rPr>
        <b/>
        <vertAlign val="superscript"/>
        <sz val="12"/>
        <color theme="1"/>
        <rFont val="Times New Roman"/>
        <family val="1"/>
      </rPr>
      <t>*</t>
    </r>
    <r>
      <rPr>
        <b/>
        <sz val="12"/>
        <color theme="1"/>
        <rFont val="Times New Roman"/>
        <family val="1"/>
      </rPr>
      <t xml:space="preserve"> Matrix</t>
    </r>
  </si>
  <si>
    <r>
      <t>FL</t>
    </r>
    <r>
      <rPr>
        <b/>
        <vertAlign val="superscript"/>
        <sz val="12"/>
        <color theme="1"/>
        <rFont val="Times New Roman"/>
        <family val="1"/>
      </rPr>
      <t>*</t>
    </r>
  </si>
  <si>
    <t>BIC =</t>
  </si>
  <si>
    <r>
      <rPr>
        <b/>
        <i/>
        <sz val="12"/>
        <color theme="1"/>
        <rFont val="Times New Roman"/>
        <family val="1"/>
      </rPr>
      <t>s</t>
    </r>
    <r>
      <rPr>
        <sz val="12"/>
        <color theme="1"/>
        <rFont val="Times New Roman"/>
        <family val="1"/>
      </rPr>
      <t xml:space="preserve"> =</t>
    </r>
  </si>
  <si>
    <r>
      <rPr>
        <b/>
        <i/>
        <sz val="12"/>
        <color theme="1"/>
        <rFont val="Times New Roman"/>
        <family val="1"/>
      </rPr>
      <t>R</t>
    </r>
    <r>
      <rPr>
        <b/>
        <i/>
        <vertAlign val="subscript"/>
        <sz val="12"/>
        <color theme="1"/>
        <rFont val="Times New Roman"/>
        <family val="1"/>
      </rPr>
      <t>A</t>
    </r>
    <r>
      <rPr>
        <b/>
        <vertAlign val="super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 xml:space="preserve"> =</t>
    </r>
  </si>
  <si>
    <r>
      <rPr>
        <b/>
        <i/>
        <sz val="12"/>
        <color theme="1"/>
        <rFont val="Times New Roman"/>
        <family val="1"/>
      </rPr>
      <t>R</t>
    </r>
    <r>
      <rPr>
        <b/>
        <vertAlign val="superscript"/>
        <sz val="12"/>
        <color theme="1"/>
        <rFont val="Times New Roman"/>
        <family val="1"/>
      </rPr>
      <t>2</t>
    </r>
  </si>
  <si>
    <r>
      <rPr>
        <b/>
        <i/>
        <sz val="12"/>
        <color theme="1"/>
        <rFont val="Times New Roman"/>
        <family val="1"/>
      </rPr>
      <t>R</t>
    </r>
    <r>
      <rPr>
        <b/>
        <i/>
        <vertAlign val="subscript"/>
        <sz val="12"/>
        <color theme="1"/>
        <rFont val="Times New Roman"/>
        <family val="1"/>
      </rPr>
      <t>p</t>
    </r>
    <r>
      <rPr>
        <b/>
        <vertAlign val="super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 xml:space="preserve"> =</t>
    </r>
  </si>
  <si>
    <t>Statistics</t>
  </si>
  <si>
    <t>Additional</t>
  </si>
  <si>
    <r>
      <t xml:space="preserve">Quartic Model, </t>
    </r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 5</t>
    </r>
  </si>
  <si>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=5</t>
    </r>
  </si>
  <si>
    <r>
      <t xml:space="preserve">Cubic Model, </t>
    </r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=4</t>
    </r>
  </si>
  <si>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=4</t>
    </r>
  </si>
  <si>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=3</t>
    </r>
  </si>
  <si>
    <r>
      <t xml:space="preserve">Quadratic Model, </t>
    </r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=3</t>
    </r>
  </si>
  <si>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=2</t>
    </r>
  </si>
  <si>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=1</t>
    </r>
  </si>
  <si>
    <r>
      <t xml:space="preserve">Linear Model, </t>
    </r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=2</t>
    </r>
  </si>
  <si>
    <r>
      <t>ŷ</t>
    </r>
    <r>
      <rPr>
        <b/>
        <vertAlign val="subscript"/>
        <sz val="12"/>
        <color theme="1"/>
        <rFont val="Times New Roman"/>
        <family val="1"/>
      </rPr>
      <t>4</t>
    </r>
  </si>
  <si>
    <r>
      <t>ŷ</t>
    </r>
    <r>
      <rPr>
        <b/>
        <vertAlign val="subscript"/>
        <sz val="12"/>
        <color theme="1"/>
        <rFont val="Times New Roman"/>
        <family val="1"/>
      </rPr>
      <t>3</t>
    </r>
  </si>
  <si>
    <r>
      <t>ŷ</t>
    </r>
    <r>
      <rPr>
        <b/>
        <vertAlign val="subscript"/>
        <sz val="12"/>
        <color theme="1"/>
        <rFont val="Times New Roman"/>
        <family val="1"/>
      </rPr>
      <t>2</t>
    </r>
  </si>
  <si>
    <r>
      <t>ŷ</t>
    </r>
    <r>
      <rPr>
        <b/>
        <vertAlign val="subscript"/>
        <sz val="12"/>
        <color theme="1"/>
        <rFont val="Times New Roman"/>
        <family val="1"/>
      </rPr>
      <t>1</t>
    </r>
  </si>
  <si>
    <t>y</t>
  </si>
  <si>
    <t>ANOVAs</t>
  </si>
  <si>
    <t>Coefficients</t>
  </si>
  <si>
    <t>X Matrices</t>
  </si>
  <si>
    <r>
      <t>C</t>
    </r>
    <r>
      <rPr>
        <vertAlign val="subscript"/>
        <sz val="12"/>
        <color rgb="FF000000"/>
        <rFont val="Times New Roman"/>
        <family val="1"/>
      </rPr>
      <t>3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8</t>
    </r>
  </si>
  <si>
    <r>
      <t>C</t>
    </r>
    <r>
      <rPr>
        <vertAlign val="subscript"/>
        <sz val="12"/>
        <color rgb="FF000000"/>
        <rFont val="Times New Roman"/>
        <family val="1"/>
      </rPr>
      <t>4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10</t>
    </r>
  </si>
  <si>
    <r>
      <t>CH</t>
    </r>
    <r>
      <rPr>
        <vertAlign val="subscript"/>
        <sz val="12"/>
        <color rgb="FF000000"/>
        <rFont val="Times New Roman"/>
        <family val="1"/>
      </rPr>
      <t>4</t>
    </r>
  </si>
  <si>
    <t>Total</t>
  </si>
  <si>
    <t>C5+</t>
  </si>
  <si>
    <r>
      <t>C</t>
    </r>
    <r>
      <rPr>
        <vertAlign val="subscript"/>
        <sz val="12"/>
        <color rgb="FF000000"/>
        <rFont val="Times New Roman"/>
        <family val="1"/>
      </rPr>
      <t>3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6</t>
    </r>
  </si>
  <si>
    <r>
      <t>C</t>
    </r>
    <r>
      <rPr>
        <vertAlign val="sub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6</t>
    </r>
  </si>
  <si>
    <r>
      <t>C</t>
    </r>
    <r>
      <rPr>
        <vertAlign val="sub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4</t>
    </r>
  </si>
  <si>
    <r>
      <t>H</t>
    </r>
    <r>
      <rPr>
        <vertAlign val="subscript"/>
        <sz val="12"/>
        <color rgb="FF000000"/>
        <rFont val="Times New Roman"/>
        <family val="1"/>
      </rPr>
      <t>2</t>
    </r>
  </si>
  <si>
    <t>C=C</t>
  </si>
  <si>
    <t>C−C</t>
  </si>
  <si>
    <t>C−H</t>
  </si>
  <si>
    <t>H−H</t>
  </si>
  <si>
    <r>
      <t>q</t>
    </r>
    <r>
      <rPr>
        <b/>
        <vertAlign val="subscript"/>
        <sz val="12"/>
        <rFont val="Times New Roman"/>
        <family val="1"/>
      </rPr>
      <t>t</t>
    </r>
  </si>
  <si>
    <t>Species</t>
  </si>
  <si>
    <r>
      <t>q</t>
    </r>
    <r>
      <rPr>
        <b/>
        <vertAlign val="subscript"/>
        <sz val="12"/>
        <rFont val="Times New Roman"/>
        <family val="1"/>
      </rPr>
      <t>s</t>
    </r>
  </si>
  <si>
    <r>
      <t>F</t>
    </r>
    <r>
      <rPr>
        <b/>
        <vertAlign val="subscript"/>
        <sz val="12"/>
        <rFont val="Times New Roman"/>
        <family val="1"/>
      </rPr>
      <t>t</t>
    </r>
  </si>
  <si>
    <r>
      <t>q</t>
    </r>
    <r>
      <rPr>
        <b/>
        <vertAlign val="subscript"/>
        <sz val="12"/>
        <rFont val="Times New Roman"/>
        <family val="1"/>
      </rPr>
      <t xml:space="preserve">t </t>
    </r>
    <r>
      <rPr>
        <b/>
        <sz val="12"/>
        <rFont val="Times New Roman"/>
        <family val="1"/>
      </rPr>
      <t>= (F</t>
    </r>
    <r>
      <rPr>
        <b/>
        <vertAlign val="subscript"/>
        <sz val="12"/>
        <rFont val="Times New Roman"/>
        <family val="1"/>
      </rPr>
      <t>s</t>
    </r>
    <r>
      <rPr>
        <b/>
        <sz val="12"/>
        <rFont val="Times New Roman"/>
        <family val="1"/>
      </rPr>
      <t>F</t>
    </r>
    <r>
      <rPr>
        <b/>
        <vertAlign val="subscript"/>
        <sz val="12"/>
        <rFont val="Times New Roman"/>
        <family val="1"/>
      </rPr>
      <t>t</t>
    </r>
    <r>
      <rPr>
        <b/>
        <vertAlign val="superscript"/>
        <sz val="12"/>
        <rFont val="Times New Roman"/>
        <family val="1"/>
      </rPr>
      <t>-1</t>
    </r>
    <r>
      <rPr>
        <b/>
        <sz val="12"/>
        <rFont val="Times New Roman"/>
        <family val="1"/>
      </rPr>
      <t>)q</t>
    </r>
    <r>
      <rPr>
        <b/>
        <vertAlign val="subscript"/>
        <sz val="12"/>
        <rFont val="Times New Roman"/>
        <family val="1"/>
      </rPr>
      <t>s</t>
    </r>
  </si>
  <si>
    <r>
      <t>F</t>
    </r>
    <r>
      <rPr>
        <b/>
        <vertAlign val="subscript"/>
        <sz val="12"/>
        <rFont val="Times New Roman"/>
        <family val="1"/>
      </rPr>
      <t>s</t>
    </r>
  </si>
  <si>
    <t>Source Fuel</t>
  </si>
  <si>
    <r>
      <t>(123)</t>
    </r>
    <r>
      <rPr>
        <vertAlign val="superscript"/>
        <sz val="12"/>
        <color theme="1"/>
        <rFont val="Times New Roman"/>
        <family val="1"/>
      </rPr>
      <t>2</t>
    </r>
  </si>
  <si>
    <r>
      <t>Z</t>
    </r>
    <r>
      <rPr>
        <b/>
        <vertAlign val="superscript"/>
        <sz val="12"/>
        <color theme="1"/>
        <rFont val="Times New Roman"/>
        <family val="1"/>
      </rPr>
      <t>-1</t>
    </r>
  </si>
  <si>
    <r>
      <t>(123)</t>
    </r>
    <r>
      <rPr>
        <b/>
        <vertAlign val="superscript"/>
        <sz val="12"/>
        <color theme="1"/>
        <rFont val="Times New Roman"/>
        <family val="1"/>
      </rPr>
      <t>2</t>
    </r>
  </si>
  <si>
    <t>Simplex Axial</t>
  </si>
  <si>
    <t>Simplex Lattice</t>
  </si>
  <si>
    <r>
      <t>z</t>
    </r>
    <r>
      <rPr>
        <b/>
        <vertAlign val="subscript"/>
        <sz val="12"/>
        <color theme="1"/>
        <rFont val="Times New Roman"/>
        <family val="1"/>
      </rPr>
      <t>3</t>
    </r>
  </si>
  <si>
    <r>
      <t>z</t>
    </r>
    <r>
      <rPr>
        <b/>
        <vertAlign val="subscript"/>
        <sz val="12"/>
        <color theme="1"/>
        <rFont val="Times New Roman"/>
        <family val="1"/>
      </rPr>
      <t>2</t>
    </r>
  </si>
  <si>
    <r>
      <t>z</t>
    </r>
    <r>
      <rPr>
        <b/>
        <vertAlign val="subscript"/>
        <sz val="12"/>
        <color theme="1"/>
        <rFont val="Times New Roman"/>
        <family val="1"/>
      </rPr>
      <t>1</t>
    </r>
  </si>
  <si>
    <t>Simplex Centroid</t>
  </si>
  <si>
    <t>S</t>
  </si>
  <si>
    <t>P</t>
  </si>
  <si>
    <t>L</t>
  </si>
  <si>
    <t>E</t>
  </si>
  <si>
    <t>H2</t>
  </si>
  <si>
    <r>
      <rPr>
        <i/>
        <sz val="12"/>
        <color theme="1"/>
        <rFont val="Times New Roman"/>
        <family val="1"/>
      </rPr>
      <t>R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=</t>
    </r>
  </si>
  <si>
    <t xml:space="preserve">ŷ </t>
  </si>
  <si>
    <t>Effect</t>
  </si>
  <si>
    <r>
      <rPr>
        <b/>
        <i/>
        <sz val="12"/>
        <color theme="1"/>
        <rFont val="Times New Roman"/>
        <family val="1"/>
      </rPr>
      <t>t -</t>
    </r>
    <r>
      <rPr>
        <b/>
        <sz val="12"/>
        <color theme="1"/>
        <rFont val="Times New Roman"/>
        <family val="1"/>
      </rPr>
      <t>tests on Signicant Effects</t>
    </r>
  </si>
  <si>
    <r>
      <t>R</t>
    </r>
    <r>
      <rPr>
        <b/>
        <vertAlign val="super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 xml:space="preserve"> =</t>
    </r>
  </si>
  <si>
    <t>s =</t>
  </si>
  <si>
    <r>
      <t>(X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X)</t>
    </r>
    <r>
      <rPr>
        <b/>
        <vertAlign val="superscript"/>
        <sz val="12"/>
        <color theme="1"/>
        <rFont val="Times New Roman"/>
        <family val="1"/>
      </rPr>
      <t xml:space="preserve">-1 </t>
    </r>
    <r>
      <rPr>
        <b/>
        <sz val="12"/>
        <color theme="1"/>
        <rFont val="Times New Roman"/>
        <family val="1"/>
      </rPr>
      <t>Matrix</t>
    </r>
  </si>
  <si>
    <r>
      <t>(X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X)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>, Significant Effects</t>
    </r>
  </si>
  <si>
    <t>ANOVA on Significant Effects Only</t>
  </si>
  <si>
    <r>
      <rPr>
        <b/>
        <i/>
        <sz val="12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2</t>
    </r>
  </si>
  <si>
    <r>
      <rPr>
        <b/>
        <i/>
        <sz val="12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1</t>
    </r>
  </si>
  <si>
    <r>
      <t>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X, Significant Effects</t>
    </r>
  </si>
  <si>
    <r>
      <t>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 Matrix</t>
    </r>
  </si>
  <si>
    <r>
      <rPr>
        <b/>
        <i/>
        <sz val="12"/>
        <color theme="1"/>
        <rFont val="Times New Roman"/>
        <family val="1"/>
      </rPr>
      <t>t -</t>
    </r>
    <r>
      <rPr>
        <b/>
        <sz val="12"/>
        <color theme="1"/>
        <rFont val="Times New Roman"/>
        <family val="1"/>
      </rPr>
      <t>tests on All Effects</t>
    </r>
  </si>
  <si>
    <t>11&amp;22</t>
  </si>
  <si>
    <r>
      <rPr>
        <b/>
        <i/>
        <sz val="12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1</t>
    </r>
    <r>
      <rPr>
        <b/>
        <vertAlign val="super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-2/3</t>
    </r>
  </si>
  <si>
    <r>
      <rPr>
        <b/>
        <i/>
        <sz val="12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2</t>
    </r>
    <r>
      <rPr>
        <b/>
        <vertAlign val="super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-2/3</t>
    </r>
  </si>
  <si>
    <r>
      <rPr>
        <b/>
        <i/>
        <sz val="12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1</t>
    </r>
    <r>
      <rPr>
        <b/>
        <i/>
        <sz val="12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2</t>
    </r>
  </si>
  <si>
    <t>X Matrix, Significant Effects</t>
  </si>
  <si>
    <t>Analysis of Variance (ANOVA)</t>
  </si>
  <si>
    <r>
      <t>S</t>
    </r>
    <r>
      <rPr>
        <b/>
        <vertAlign val="subscript"/>
        <sz val="12"/>
        <color theme="1"/>
        <rFont val="Times New Roman"/>
        <family val="1"/>
      </rPr>
      <t>3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 xml:space="preserve"> Matrix</t>
    </r>
  </si>
  <si>
    <r>
      <t>S</t>
    </r>
    <r>
      <rPr>
        <b/>
        <vertAlign val="subscript"/>
        <sz val="12"/>
        <color theme="1"/>
        <rFont val="Times New Roman"/>
        <family val="1"/>
      </rPr>
      <t>2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 xml:space="preserve"> Matrix</t>
    </r>
  </si>
  <si>
    <r>
      <t>S</t>
    </r>
    <r>
      <rPr>
        <b/>
        <vertAlign val="subscript"/>
        <sz val="12"/>
        <color theme="1"/>
        <rFont val="Times New Roman"/>
        <family val="1"/>
      </rPr>
      <t>1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 xml:space="preserve"> Matrix</t>
    </r>
  </si>
  <si>
    <r>
      <t>S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 xml:space="preserve"> Matrix</t>
    </r>
  </si>
  <si>
    <r>
      <t>W</t>
    </r>
    <r>
      <rPr>
        <b/>
        <vertAlign val="subscript"/>
        <sz val="12"/>
        <color theme="1"/>
        <rFont val="Times New Roman"/>
        <family val="1"/>
      </rPr>
      <t>3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 xml:space="preserve"> Matrix</t>
    </r>
  </si>
  <si>
    <r>
      <t>W</t>
    </r>
    <r>
      <rPr>
        <b/>
        <vertAlign val="subscript"/>
        <sz val="12"/>
        <color theme="1"/>
        <rFont val="Times New Roman"/>
        <family val="1"/>
      </rPr>
      <t>2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 xml:space="preserve"> Matrix</t>
    </r>
  </si>
  <si>
    <r>
      <t>W</t>
    </r>
    <r>
      <rPr>
        <b/>
        <vertAlign val="subscript"/>
        <sz val="12"/>
        <color theme="1"/>
        <rFont val="Times New Roman"/>
        <family val="1"/>
      </rPr>
      <t>1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1</t>
    </r>
    <r>
      <rPr>
        <b/>
        <sz val="12"/>
        <color theme="1"/>
        <rFont val="Times New Roman"/>
        <family val="1"/>
      </rPr>
      <t xml:space="preserve"> Matrix</t>
    </r>
  </si>
  <si>
    <r>
      <t>W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W Matrix</t>
    </r>
  </si>
  <si>
    <r>
      <rPr>
        <b/>
        <i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22</t>
    </r>
  </si>
  <si>
    <r>
      <rPr>
        <b/>
        <i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11</t>
    </r>
  </si>
  <si>
    <r>
      <rPr>
        <b/>
        <i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B</t>
    </r>
  </si>
  <si>
    <r>
      <rPr>
        <b/>
        <i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12</t>
    </r>
  </si>
  <si>
    <r>
      <rPr>
        <b/>
        <i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2</t>
    </r>
  </si>
  <si>
    <r>
      <rPr>
        <b/>
        <i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1</t>
    </r>
  </si>
  <si>
    <r>
      <rPr>
        <b/>
        <i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0</t>
    </r>
  </si>
  <si>
    <r>
      <t>W</t>
    </r>
    <r>
      <rPr>
        <b/>
        <vertAlign val="sub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 xml:space="preserve"> Matrix = XS</t>
    </r>
    <r>
      <rPr>
        <b/>
        <vertAlign val="subscript"/>
        <sz val="12"/>
        <color theme="1"/>
        <rFont val="Times New Roman"/>
        <family val="1"/>
      </rPr>
      <t>3</t>
    </r>
    <r>
      <rPr>
        <b/>
        <vertAlign val="superscript"/>
        <sz val="12"/>
        <color theme="1"/>
        <rFont val="Times New Roman"/>
        <family val="1"/>
      </rPr>
      <t>-1</t>
    </r>
  </si>
  <si>
    <r>
      <t>W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 xml:space="preserve"> Matrix = XS</t>
    </r>
    <r>
      <rPr>
        <b/>
        <vertAlign val="subscript"/>
        <sz val="12"/>
        <color theme="1"/>
        <rFont val="Times New Roman"/>
        <family val="1"/>
      </rPr>
      <t>2</t>
    </r>
    <r>
      <rPr>
        <b/>
        <vertAlign val="superscript"/>
        <sz val="12"/>
        <color theme="1"/>
        <rFont val="Times New Roman"/>
        <family val="1"/>
      </rPr>
      <t>-1</t>
    </r>
  </si>
  <si>
    <r>
      <t>W</t>
    </r>
    <r>
      <rPr>
        <b/>
        <vertAlign val="subscript"/>
        <sz val="12"/>
        <color theme="1"/>
        <rFont val="Times New Roman"/>
        <family val="1"/>
      </rPr>
      <t>1</t>
    </r>
    <r>
      <rPr>
        <b/>
        <sz val="12"/>
        <color theme="1"/>
        <rFont val="Times New Roman"/>
        <family val="1"/>
      </rPr>
      <t xml:space="preserve"> Matrix = XS</t>
    </r>
    <r>
      <rPr>
        <b/>
        <vertAlign val="subscript"/>
        <sz val="12"/>
        <color theme="1"/>
        <rFont val="Times New Roman"/>
        <family val="1"/>
      </rPr>
      <t>1</t>
    </r>
    <r>
      <rPr>
        <b/>
        <vertAlign val="superscript"/>
        <sz val="12"/>
        <color theme="1"/>
        <rFont val="Times New Roman"/>
        <family val="1"/>
      </rPr>
      <t>-1</t>
    </r>
  </si>
  <si>
    <r>
      <t>W Matrix = XS</t>
    </r>
    <r>
      <rPr>
        <b/>
        <vertAlign val="superscript"/>
        <sz val="12"/>
        <color theme="1"/>
        <rFont val="Times New Roman"/>
        <family val="1"/>
      </rPr>
      <t>-1</t>
    </r>
  </si>
  <si>
    <r>
      <t>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 for RSV</t>
    </r>
  </si>
  <si>
    <r>
      <t>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 for CSD</t>
    </r>
  </si>
  <si>
    <t>Repeated Value Simplex (RVS)</t>
  </si>
  <si>
    <t>Classical Simplex Design (CSD)</t>
  </si>
  <si>
    <r>
      <t>(X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 Matrix)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>, Including Block</t>
    </r>
  </si>
  <si>
    <r>
      <t>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 Matrix, Including Block</t>
    </r>
  </si>
  <si>
    <t>Accounting For Block Differences</t>
  </si>
  <si>
    <r>
      <t>(X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X)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 xml:space="preserve"> Matrix, No Block</t>
    </r>
  </si>
  <si>
    <t>HR</t>
  </si>
  <si>
    <r>
      <t>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 Matrix, No Block</t>
    </r>
  </si>
  <si>
    <t>ŷ, w/B</t>
  </si>
  <si>
    <t>ŷ, No B</t>
  </si>
  <si>
    <t>y. FL</t>
  </si>
  <si>
    <t>B =123</t>
  </si>
  <si>
    <t>Run</t>
  </si>
  <si>
    <t>Without Accounting For Block Differences</t>
  </si>
  <si>
    <t>ANOVA, Non-Randomized on Temp.</t>
  </si>
  <si>
    <t>ANOVA, Randomized on x</t>
  </si>
  <si>
    <t>ANOVA, Non-Randomized on x</t>
  </si>
  <si>
    <t>x</t>
  </si>
  <si>
    <t>T [°C]</t>
  </si>
  <si>
    <t>X Matrix, Nonrand. on T</t>
  </si>
  <si>
    <t>Non-Randomized on Temp.</t>
  </si>
  <si>
    <t>X Matrix, Rand. on x</t>
  </si>
  <si>
    <t>Randomized on x</t>
  </si>
  <si>
    <t>X Matrix, Nonrand. on x</t>
  </si>
  <si>
    <t>Non-Randomized on x</t>
  </si>
  <si>
    <r>
      <t>R</t>
    </r>
    <r>
      <rPr>
        <b/>
        <vertAlign val="superscript"/>
        <sz val="12"/>
        <color theme="1"/>
        <rFont val="Times New Roman"/>
        <family val="1"/>
      </rPr>
      <t xml:space="preserve">2 </t>
    </r>
    <r>
      <rPr>
        <b/>
        <sz val="12"/>
        <color theme="1"/>
        <rFont val="Times New Roman"/>
        <family val="1"/>
      </rPr>
      <t>=</t>
    </r>
  </si>
  <si>
    <t>m</t>
  </si>
  <si>
    <t>n</t>
  </si>
  <si>
    <r>
      <t>(X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X)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 xml:space="preserve"> Matrix</t>
    </r>
  </si>
  <si>
    <t>ANOVA, Speciated</t>
  </si>
  <si>
    <t>[ppm]</t>
  </si>
  <si>
    <t>Temp [F]</t>
  </si>
  <si>
    <t>ANOVA, Pooled</t>
  </si>
  <si>
    <r>
      <t>ӯ</t>
    </r>
    <r>
      <rPr>
        <b/>
        <i/>
        <vertAlign val="subscript"/>
        <sz val="12"/>
        <color theme="1"/>
        <rFont val="Garamond"/>
        <family val="1"/>
      </rPr>
      <t>r</t>
    </r>
  </si>
  <si>
    <r>
      <t>y</t>
    </r>
    <r>
      <rPr>
        <b/>
        <sz val="12"/>
        <color theme="1"/>
        <rFont val="Garamond"/>
        <family val="1"/>
      </rPr>
      <t xml:space="preserve">̂ </t>
    </r>
  </si>
  <si>
    <t>Oxygen</t>
  </si>
  <si>
    <t>Furnace</t>
  </si>
  <si>
    <t>Factors</t>
  </si>
  <si>
    <t>Alias Matrix (A)</t>
  </si>
  <si>
    <t>Ξ Matrix</t>
  </si>
  <si>
    <t>s</t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</si>
  <si>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1</t>
    </r>
  </si>
  <si>
    <t>APH</t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</si>
  <si>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2</t>
    </r>
  </si>
  <si>
    <t>BWT</t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</si>
  <si>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3</t>
    </r>
  </si>
  <si>
    <r>
      <t xml:space="preserve">O2 </t>
    </r>
    <r>
      <rPr>
        <sz val="12"/>
        <color theme="1"/>
        <rFont val="Calibri"/>
        <family val="2"/>
      </rPr>
      <t xml:space="preserve">x </t>
    </r>
    <r>
      <rPr>
        <sz val="12"/>
        <color theme="1"/>
        <rFont val="Times New Roman"/>
        <family val="1"/>
      </rPr>
      <t>APH</t>
    </r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</si>
  <si>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12</t>
    </r>
  </si>
  <si>
    <r>
      <t xml:space="preserve">O2 </t>
    </r>
    <r>
      <rPr>
        <sz val="12"/>
        <color theme="1"/>
        <rFont val="Calibri"/>
        <family val="2"/>
      </rPr>
      <t>x</t>
    </r>
    <r>
      <rPr>
        <sz val="12"/>
        <color theme="1"/>
        <rFont val="Times New Roman"/>
        <family val="1"/>
      </rPr>
      <t xml:space="preserve"> BWT</t>
    </r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</si>
  <si>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13</t>
    </r>
  </si>
  <si>
    <r>
      <t>O2</t>
    </r>
    <r>
      <rPr>
        <sz val="12"/>
        <color theme="1"/>
        <rFont val="Calibri"/>
        <family val="2"/>
      </rPr>
      <t xml:space="preserve"> x </t>
    </r>
    <r>
      <rPr>
        <sz val="12"/>
        <color theme="1"/>
        <rFont val="Times New Roman"/>
        <family val="1"/>
      </rPr>
      <t xml:space="preserve">APH </t>
    </r>
    <r>
      <rPr>
        <sz val="12"/>
        <color theme="1"/>
        <rFont val="Calibri"/>
        <family val="2"/>
      </rPr>
      <t>x</t>
    </r>
    <r>
      <rPr>
        <sz val="12"/>
        <color theme="1"/>
        <rFont val="Times New Roman"/>
        <family val="1"/>
      </rPr>
      <t xml:space="preserve"> BWT</t>
    </r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</si>
  <si>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123</t>
    </r>
  </si>
  <si>
    <r>
      <t xml:space="preserve">APH </t>
    </r>
    <r>
      <rPr>
        <sz val="12"/>
        <color theme="1"/>
        <rFont val="Calibri"/>
        <family val="2"/>
      </rPr>
      <t xml:space="preserve">x </t>
    </r>
    <r>
      <rPr>
        <sz val="12"/>
        <color theme="1"/>
        <rFont val="Times New Roman"/>
        <family val="1"/>
      </rPr>
      <t>BWT</t>
    </r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</si>
  <si>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23</t>
    </r>
  </si>
  <si>
    <r>
      <rPr>
        <b/>
        <sz val="12"/>
        <color theme="1"/>
        <rFont val="Calibri"/>
        <family val="2"/>
      </rPr>
      <t xml:space="preserve">x </t>
    </r>
    <r>
      <rPr>
        <b/>
        <sz val="12"/>
        <color theme="1"/>
        <rFont val="Times New Roman"/>
        <family val="1"/>
      </rPr>
      <t>s</t>
    </r>
  </si>
  <si>
    <t>Ordinate</t>
  </si>
  <si>
    <t>Percentile</t>
  </si>
  <si>
    <t>Value</t>
  </si>
  <si>
    <t>Rank</t>
  </si>
  <si>
    <t>N.O.</t>
  </si>
  <si>
    <t>Normal</t>
  </si>
  <si>
    <t>Rank-Ordered Coefficients</t>
  </si>
  <si>
    <t>1/2 Range</t>
  </si>
  <si>
    <t>y, NOx ppm</t>
  </si>
  <si>
    <t>3. BWT, F</t>
  </si>
  <si>
    <t>2. APH, F</t>
  </si>
  <si>
    <t>1. O2,%</t>
  </si>
  <si>
    <t>Test Point</t>
  </si>
  <si>
    <t xml:space="preserve">Trunc. a </t>
  </si>
  <si>
    <t>Truncated X Matrix</t>
  </si>
  <si>
    <t>a vector</t>
  </si>
  <si>
    <t>Data in Original Metric</t>
  </si>
  <si>
    <r>
      <rPr>
        <i/>
        <sz val="12"/>
        <color theme="1"/>
        <rFont val="Times New Roman"/>
        <family val="1"/>
      </rPr>
      <t>R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=</t>
    </r>
  </si>
  <si>
    <r>
      <rPr>
        <b/>
        <sz val="12"/>
        <color theme="1"/>
        <rFont val="Times New Roman"/>
        <family val="1"/>
      </rPr>
      <t>↑ Alternative ↑</t>
    </r>
    <r>
      <rPr>
        <b/>
        <sz val="11"/>
        <color theme="1"/>
        <rFont val="Times New Roman"/>
        <family val="1"/>
      </rPr>
      <t xml:space="preserve"> Representation</t>
    </r>
  </si>
  <si>
    <t xml:space="preserve">B </t>
  </si>
  <si>
    <r>
      <t>δ</t>
    </r>
    <r>
      <rPr>
        <b/>
        <i/>
        <sz val="12"/>
        <color theme="1"/>
        <rFont val="Times New Roman"/>
        <family val="1"/>
      </rPr>
      <t>'</t>
    </r>
    <r>
      <rPr>
        <b/>
        <i/>
        <vertAlign val="subscript"/>
        <sz val="12"/>
        <color theme="1"/>
        <rFont val="Times New Roman"/>
        <family val="1"/>
      </rPr>
      <t>C</t>
    </r>
  </si>
  <si>
    <r>
      <t>δ</t>
    </r>
    <r>
      <rPr>
        <b/>
        <i/>
        <sz val="12"/>
        <color theme="1"/>
        <rFont val="Times New Roman"/>
        <family val="1"/>
      </rPr>
      <t>'</t>
    </r>
    <r>
      <rPr>
        <b/>
        <i/>
        <vertAlign val="subscript"/>
        <sz val="12"/>
        <color theme="1"/>
        <rFont val="Times New Roman"/>
        <family val="1"/>
      </rPr>
      <t>B</t>
    </r>
  </si>
  <si>
    <r>
      <t>δ</t>
    </r>
    <r>
      <rPr>
        <b/>
        <i/>
        <sz val="12"/>
        <color theme="1"/>
        <rFont val="Times New Roman"/>
        <family val="1"/>
      </rPr>
      <t>'</t>
    </r>
    <r>
      <rPr>
        <b/>
        <i/>
        <vertAlign val="subscript"/>
        <sz val="12"/>
        <color theme="1"/>
        <rFont val="Times New Roman"/>
        <family val="1"/>
      </rPr>
      <t>A</t>
    </r>
  </si>
  <si>
    <r>
      <rPr>
        <b/>
        <i/>
        <sz val="12"/>
        <color theme="1"/>
        <rFont val="Times New Roman"/>
        <family val="1"/>
      </rPr>
      <t>a</t>
    </r>
    <r>
      <rPr>
        <b/>
        <vertAlign val="subscript"/>
        <sz val="12"/>
        <color theme="1"/>
        <rFont val="Times New Roman"/>
        <family val="1"/>
      </rPr>
      <t>0</t>
    </r>
  </si>
  <si>
    <t>L rep</t>
  </si>
  <si>
    <t>Col</t>
  </si>
  <si>
    <r>
      <rPr>
        <b/>
        <sz val="12"/>
        <color theme="1"/>
        <rFont val="PCSB Hebrew"/>
        <charset val="2"/>
      </rPr>
      <t>A</t>
    </r>
    <r>
      <rPr>
        <b/>
        <vertAlign val="subscript"/>
        <sz val="12"/>
        <color theme="1"/>
        <rFont val="Times New Roman"/>
        <family val="1"/>
      </rPr>
      <t>S,adj</t>
    </r>
    <r>
      <rPr>
        <b/>
        <vertAlign val="superscript"/>
        <sz val="12"/>
        <color theme="1"/>
        <rFont val="Times New Roman"/>
        <family val="1"/>
      </rPr>
      <t>-1</t>
    </r>
  </si>
  <si>
    <r>
      <rPr>
        <b/>
        <sz val="12"/>
        <color theme="1"/>
        <rFont val="PCSB Hebrew"/>
        <charset val="2"/>
      </rPr>
      <t>A</t>
    </r>
    <r>
      <rPr>
        <b/>
        <vertAlign val="subscript"/>
        <sz val="12"/>
        <color theme="1"/>
        <rFont val="Times New Roman"/>
        <family val="1"/>
      </rPr>
      <t>S</t>
    </r>
    <r>
      <rPr>
        <b/>
        <vertAlign val="superscript"/>
        <sz val="12"/>
        <color theme="1"/>
        <rFont val="Times New Roman"/>
        <family val="1"/>
      </rPr>
      <t>-1</t>
    </r>
  </si>
  <si>
    <r>
      <rPr>
        <b/>
        <sz val="12"/>
        <color theme="1"/>
        <rFont val="PCSB Hebrew"/>
        <charset val="2"/>
      </rPr>
      <t>A</t>
    </r>
    <r>
      <rPr>
        <b/>
        <vertAlign val="subscript"/>
        <sz val="12"/>
        <color theme="1"/>
        <rFont val="Times New Roman"/>
        <family val="1"/>
      </rPr>
      <t>S</t>
    </r>
  </si>
  <si>
    <t>RMS</t>
  </si>
  <si>
    <r>
      <rPr>
        <b/>
        <sz val="12"/>
        <color theme="1"/>
        <rFont val="PCSB Hebrew"/>
        <charset val="2"/>
      </rPr>
      <t>A</t>
    </r>
    <r>
      <rPr>
        <b/>
        <vertAlign val="subscript"/>
        <sz val="12"/>
        <color theme="1"/>
        <rFont val="Times New Roman"/>
        <family val="1"/>
      </rPr>
      <t>S</t>
    </r>
    <r>
      <rPr>
        <b/>
        <sz val="12"/>
        <color theme="1"/>
        <rFont val="Times New Roman"/>
        <family val="1"/>
      </rPr>
      <t>a</t>
    </r>
    <r>
      <rPr>
        <b/>
        <vertAlign val="subscript"/>
        <sz val="12"/>
        <color theme="1"/>
        <rFont val="Times New Roman"/>
        <family val="1"/>
      </rPr>
      <t>k</t>
    </r>
    <r>
      <rPr>
        <b/>
        <vertAlign val="superscript"/>
        <sz val="12"/>
        <color theme="1"/>
        <rFont val="Times New Roman"/>
        <family val="1"/>
      </rPr>
      <t>2</t>
    </r>
  </si>
  <si>
    <r>
      <t>c=L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1</t>
    </r>
  </si>
  <si>
    <r>
      <t>L</t>
    </r>
    <r>
      <rPr>
        <b/>
        <vertAlign val="superscript"/>
        <sz val="12"/>
        <color theme="1"/>
        <rFont val="Times New Roman"/>
        <family val="1"/>
      </rPr>
      <t>T</t>
    </r>
  </si>
  <si>
    <t>b</t>
  </si>
  <si>
    <r>
      <t>a=X</t>
    </r>
    <r>
      <rPr>
        <b/>
        <vertAlign val="subscript"/>
        <sz val="12"/>
        <color theme="1"/>
        <rFont val="Times New Roman"/>
        <family val="1"/>
      </rPr>
      <t>L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>y</t>
    </r>
  </si>
  <si>
    <r>
      <rPr>
        <b/>
        <sz val="12"/>
        <color theme="1"/>
        <rFont val="PCSB Hebrew"/>
        <charset val="2"/>
      </rPr>
      <t>A</t>
    </r>
    <r>
      <rPr>
        <b/>
        <vertAlign val="subscript"/>
        <sz val="12"/>
        <color theme="1"/>
        <rFont val="Times New Roman"/>
        <family val="1"/>
      </rPr>
      <t>S</t>
    </r>
    <r>
      <rPr>
        <b/>
        <sz val="12"/>
        <color theme="1"/>
        <rFont val="Times New Roman"/>
        <family val="1"/>
      </rPr>
      <t>a</t>
    </r>
  </si>
  <si>
    <t>k</t>
  </si>
  <si>
    <r>
      <t xml:space="preserve">Q 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Q</t>
    </r>
  </si>
  <si>
    <r>
      <t>X</t>
    </r>
    <r>
      <rPr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</t>
    </r>
  </si>
  <si>
    <r>
      <t>ŷ</t>
    </r>
    <r>
      <rPr>
        <b/>
        <vertAlign val="subscript"/>
        <sz val="12"/>
        <color theme="1"/>
        <rFont val="Times New Roman"/>
        <family val="1"/>
      </rPr>
      <t>kk</t>
    </r>
  </si>
  <si>
    <r>
      <t>ŷ</t>
    </r>
    <r>
      <rPr>
        <b/>
        <vertAlign val="subscript"/>
        <sz val="12"/>
        <color theme="1"/>
        <rFont val="Times New Roman"/>
        <family val="1"/>
      </rPr>
      <t>jk</t>
    </r>
  </si>
  <si>
    <r>
      <t>ŷ</t>
    </r>
    <r>
      <rPr>
        <b/>
        <vertAlign val="subscript"/>
        <sz val="12"/>
        <color theme="1"/>
        <rFont val="Times New Roman"/>
        <family val="1"/>
      </rPr>
      <t>k</t>
    </r>
  </si>
  <si>
    <r>
      <t>ŷ</t>
    </r>
    <r>
      <rPr>
        <b/>
        <vertAlign val="subscript"/>
        <sz val="12"/>
        <color theme="1"/>
        <rFont val="Times New Roman"/>
        <family val="1"/>
      </rPr>
      <t>0</t>
    </r>
  </si>
  <si>
    <t>Qb</t>
  </si>
  <si>
    <t>Xa</t>
  </si>
  <si>
    <t>Ŷ 1</t>
  </si>
  <si>
    <r>
      <t>Ŷ = XͶ</t>
    </r>
    <r>
      <rPr>
        <b/>
        <vertAlign val="subscript"/>
        <sz val="12"/>
        <color theme="1"/>
        <rFont val="Times New Roman"/>
        <family val="1"/>
      </rPr>
      <t>A</t>
    </r>
    <r>
      <rPr>
        <b/>
        <sz val="12"/>
        <color theme="1"/>
        <rFont val="Times New Roman"/>
        <family val="1"/>
      </rPr>
      <t xml:space="preserve"> = Q</t>
    </r>
    <r>
      <rPr>
        <b/>
        <vertAlign val="subscript"/>
        <sz val="12"/>
        <color theme="1"/>
        <rFont val="Times New Roman"/>
        <family val="1"/>
      </rPr>
      <t>adj</t>
    </r>
    <r>
      <rPr>
        <b/>
        <sz val="12"/>
        <color theme="1"/>
        <rFont val="Times New Roman"/>
        <family val="1"/>
      </rPr>
      <t>Ͷ</t>
    </r>
    <r>
      <rPr>
        <b/>
        <vertAlign val="subscript"/>
        <sz val="12"/>
        <color theme="1"/>
        <rFont val="Times New Roman"/>
        <family val="1"/>
      </rPr>
      <t>D</t>
    </r>
  </si>
  <si>
    <t>ŷ =</t>
  </si>
  <si>
    <r>
      <t>Q = X</t>
    </r>
    <r>
      <rPr>
        <b/>
        <sz val="12"/>
        <color theme="1"/>
        <rFont val="PCSB Hebrew"/>
        <charset val="2"/>
      </rPr>
      <t>A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vertAlign val="subscript"/>
        <sz val="12"/>
        <color theme="1"/>
        <rFont val="Times New Roman"/>
        <family val="1"/>
      </rPr>
      <t>S</t>
    </r>
  </si>
  <si>
    <r>
      <t>W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W</t>
    </r>
  </si>
  <si>
    <r>
      <t>S</t>
    </r>
    <r>
      <rPr>
        <b/>
        <vertAlign val="superscript"/>
        <sz val="12"/>
        <color theme="1"/>
        <rFont val="Times New Roman"/>
        <family val="1"/>
      </rPr>
      <t>-1</t>
    </r>
  </si>
  <si>
    <t>Index</t>
  </si>
  <si>
    <r>
      <t>S</t>
    </r>
    <r>
      <rPr>
        <b/>
        <vertAlign val="superscript"/>
        <sz val="12"/>
        <color theme="1"/>
        <rFont val="Times New Roman"/>
        <family val="1"/>
      </rPr>
      <t>2</t>
    </r>
  </si>
  <si>
    <t>w4</t>
  </si>
  <si>
    <t>w3</t>
  </si>
  <si>
    <t>w2</t>
  </si>
  <si>
    <t>w1</t>
  </si>
  <si>
    <t>w0</t>
  </si>
  <si>
    <t>ε</t>
  </si>
  <si>
    <t>Wb</t>
  </si>
  <si>
    <r>
      <t>w</t>
    </r>
    <r>
      <rPr>
        <b/>
        <vertAlign val="subscript"/>
        <sz val="12"/>
        <color theme="1"/>
        <rFont val="Times New Roman"/>
        <family val="1"/>
      </rPr>
      <t>4</t>
    </r>
  </si>
  <si>
    <r>
      <t>w</t>
    </r>
    <r>
      <rPr>
        <b/>
        <vertAlign val="subscript"/>
        <sz val="12"/>
        <color theme="1"/>
        <rFont val="Times New Roman"/>
        <family val="1"/>
      </rPr>
      <t>3</t>
    </r>
  </si>
  <si>
    <r>
      <t>w</t>
    </r>
    <r>
      <rPr>
        <b/>
        <vertAlign val="subscript"/>
        <sz val="12"/>
        <color theme="1"/>
        <rFont val="Times New Roman"/>
        <family val="1"/>
      </rPr>
      <t>2</t>
    </r>
  </si>
  <si>
    <r>
      <t>w</t>
    </r>
    <r>
      <rPr>
        <b/>
        <vertAlign val="subscript"/>
        <sz val="12"/>
        <color theme="1"/>
        <rFont val="Times New Roman"/>
        <family val="1"/>
      </rPr>
      <t>1</t>
    </r>
  </si>
  <si>
    <r>
      <t>w</t>
    </r>
    <r>
      <rPr>
        <b/>
        <vertAlign val="subscript"/>
        <sz val="12"/>
        <color theme="1"/>
        <rFont val="Times New Roman"/>
        <family val="1"/>
      </rPr>
      <t>0</t>
    </r>
  </si>
  <si>
    <r>
      <t>x</t>
    </r>
    <r>
      <rPr>
        <b/>
        <vertAlign val="superscript"/>
        <sz val="12"/>
        <color theme="1"/>
        <rFont val="Times New Roman"/>
        <family val="1"/>
      </rPr>
      <t>4</t>
    </r>
  </si>
  <si>
    <r>
      <t>x</t>
    </r>
    <r>
      <rPr>
        <b/>
        <vertAlign val="superscript"/>
        <sz val="12"/>
        <color theme="1"/>
        <rFont val="Times New Roman"/>
        <family val="1"/>
      </rPr>
      <t>3</t>
    </r>
  </si>
  <si>
    <r>
      <t>x</t>
    </r>
    <r>
      <rPr>
        <b/>
        <vertAlign val="superscript"/>
        <sz val="12"/>
        <color theme="1"/>
        <rFont val="Times New Roman"/>
        <family val="1"/>
      </rPr>
      <t>2</t>
    </r>
  </si>
  <si>
    <r>
      <t>x</t>
    </r>
    <r>
      <rPr>
        <b/>
        <vertAlign val="superscript"/>
        <sz val="12"/>
        <color theme="1"/>
        <rFont val="Times New Roman"/>
        <family val="1"/>
      </rPr>
      <t>1</t>
    </r>
  </si>
  <si>
    <r>
      <t>x</t>
    </r>
    <r>
      <rPr>
        <b/>
        <vertAlign val="superscript"/>
        <sz val="12"/>
        <color theme="1"/>
        <rFont val="Times New Roman"/>
        <family val="1"/>
      </rPr>
      <t>0</t>
    </r>
  </si>
  <si>
    <t>W Matrix</t>
  </si>
  <si>
    <r>
      <t>L</t>
    </r>
    <r>
      <rPr>
        <b/>
        <vertAlign val="superscript"/>
        <sz val="12"/>
        <color theme="1"/>
        <rFont val="Times New Roman"/>
        <family val="1"/>
      </rPr>
      <t>-T</t>
    </r>
  </si>
  <si>
    <r>
      <t>LL</t>
    </r>
    <r>
      <rPr>
        <b/>
        <vertAlign val="superscript"/>
        <sz val="12"/>
        <color theme="1"/>
        <rFont val="Times New Roman"/>
        <family val="1"/>
      </rPr>
      <t>T</t>
    </r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</si>
  <si>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22</t>
    </r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</si>
  <si>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11</t>
    </r>
  </si>
  <si>
    <r>
      <t>x</t>
    </r>
    <r>
      <rPr>
        <b/>
        <vertAlign val="subscript"/>
        <sz val="12"/>
        <color theme="1"/>
        <rFont val="Times New Roman"/>
        <family val="1"/>
      </rPr>
      <t>S</t>
    </r>
  </si>
  <si>
    <t>Λ</t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</si>
  <si>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0</t>
    </r>
  </si>
  <si>
    <r>
      <t>y</t>
    </r>
    <r>
      <rPr>
        <b/>
        <vertAlign val="subscript"/>
        <sz val="12"/>
        <color theme="1"/>
        <rFont val="Times New Roman"/>
        <family val="1"/>
      </rPr>
      <t>S</t>
    </r>
  </si>
  <si>
    <r>
      <t>β</t>
    </r>
    <r>
      <rPr>
        <b/>
        <vertAlign val="superscript"/>
        <sz val="12"/>
        <color theme="1"/>
        <rFont val="Times New Roman"/>
        <family val="1"/>
      </rPr>
      <t>T</t>
    </r>
  </si>
  <si>
    <t>λ, K</t>
  </si>
  <si>
    <r>
      <t>α</t>
    </r>
    <r>
      <rPr>
        <b/>
        <vertAlign val="superscript"/>
        <sz val="12"/>
        <color theme="1"/>
        <rFont val="Times New Roman"/>
        <family val="1"/>
      </rPr>
      <t>T</t>
    </r>
  </si>
  <si>
    <t>Coefficients, a</t>
  </si>
  <si>
    <r>
      <t>u</t>
    </r>
    <r>
      <rPr>
        <b/>
        <vertAlign val="subscript"/>
        <sz val="12"/>
        <color theme="1"/>
        <rFont val="Times New Roman"/>
        <family val="1"/>
      </rPr>
      <t>2</t>
    </r>
  </si>
  <si>
    <r>
      <t>u</t>
    </r>
    <r>
      <rPr>
        <b/>
        <vertAlign val="subscript"/>
        <sz val="12"/>
        <color theme="1"/>
        <rFont val="Times New Roman"/>
        <family val="1"/>
      </rPr>
      <t>1</t>
    </r>
  </si>
  <si>
    <t>6.3-3</t>
  </si>
  <si>
    <t>6.3-2</t>
  </si>
  <si>
    <r>
      <t>x</t>
    </r>
    <r>
      <rPr>
        <b/>
        <vertAlign val="subscript"/>
        <sz val="12"/>
        <color theme="1"/>
        <rFont val="Times New Roman"/>
        <family val="1"/>
      </rPr>
      <t>2</t>
    </r>
    <r>
      <rPr>
        <b/>
        <vertAlign val="superscript"/>
        <sz val="12"/>
        <color theme="1"/>
        <rFont val="Times New Roman"/>
        <family val="1"/>
      </rPr>
      <t>2</t>
    </r>
  </si>
  <si>
    <r>
      <t>x</t>
    </r>
    <r>
      <rPr>
        <b/>
        <vertAlign val="subscript"/>
        <sz val="12"/>
        <color theme="1"/>
        <rFont val="Times New Roman"/>
        <family val="1"/>
      </rPr>
      <t>1</t>
    </r>
    <r>
      <rPr>
        <b/>
        <vertAlign val="superscript"/>
        <sz val="12"/>
        <color theme="1"/>
        <rFont val="Times New Roman"/>
        <family val="1"/>
      </rPr>
      <t>2</t>
    </r>
  </si>
  <si>
    <r>
      <t>x</t>
    </r>
    <r>
      <rPr>
        <b/>
        <vertAlign val="subscript"/>
        <sz val="12"/>
        <color theme="1"/>
        <rFont val="Times New Roman"/>
        <family val="1"/>
      </rPr>
      <t>1</t>
    </r>
    <r>
      <rPr>
        <b/>
        <sz val="12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2</t>
    </r>
  </si>
  <si>
    <r>
      <t>x</t>
    </r>
    <r>
      <rPr>
        <b/>
        <vertAlign val="subscript"/>
        <sz val="12"/>
        <color theme="1"/>
        <rFont val="Times New Roman"/>
        <family val="1"/>
      </rPr>
      <t>2</t>
    </r>
  </si>
  <si>
    <r>
      <t>x</t>
    </r>
    <r>
      <rPr>
        <b/>
        <vertAlign val="subscript"/>
        <sz val="12"/>
        <color theme="1"/>
        <rFont val="Times New Roman"/>
        <family val="1"/>
      </rPr>
      <t>1</t>
    </r>
  </si>
  <si>
    <t>Rot. Coords.</t>
  </si>
  <si>
    <t>Response Values</t>
  </si>
  <si>
    <r>
      <rPr>
        <b/>
        <sz val="12"/>
        <color theme="1"/>
        <rFont val="Times New Roman"/>
        <family val="1"/>
      </rPr>
      <t>K</t>
    </r>
  </si>
  <si>
    <t>λ:</t>
  </si>
  <si>
    <r>
      <t>Λ = U</t>
    </r>
    <r>
      <rPr>
        <b/>
        <vertAlign val="superscript"/>
        <sz val="12"/>
        <color rgb="FF000000"/>
        <rFont val="Times New Roman"/>
        <family val="1"/>
      </rPr>
      <t>T</t>
    </r>
    <r>
      <rPr>
        <b/>
        <sz val="12"/>
        <color rgb="FF000000"/>
        <rFont val="Times New Roman"/>
        <family val="1"/>
      </rPr>
      <t>U Matrix</t>
    </r>
  </si>
  <si>
    <t>U Matrix</t>
  </si>
  <si>
    <t>y = Ub</t>
  </si>
  <si>
    <r>
      <t>X</t>
    </r>
    <r>
      <rPr>
        <b/>
        <vertAlign val="superscript"/>
        <sz val="12"/>
        <color rgb="FF000000"/>
        <rFont val="Times New Roman"/>
        <family val="1"/>
      </rPr>
      <t>T</t>
    </r>
    <r>
      <rPr>
        <b/>
        <sz val="12"/>
        <color rgb="FF000000"/>
        <rFont val="Times New Roman"/>
        <family val="1"/>
      </rPr>
      <t>X Matrix</t>
    </r>
  </si>
  <si>
    <t>y = Xa</t>
  </si>
  <si>
    <r>
      <t>x</t>
    </r>
    <r>
      <rPr>
        <b/>
        <vertAlign val="subscript"/>
        <sz val="11"/>
        <color rgb="FF000000"/>
        <rFont val="Times New Roman"/>
        <family val="1"/>
      </rPr>
      <t>1</t>
    </r>
    <r>
      <rPr>
        <b/>
        <i/>
        <sz val="11"/>
        <color rgb="FF000000"/>
        <rFont val="Times New Roman"/>
        <family val="1"/>
      </rPr>
      <t>x</t>
    </r>
    <r>
      <rPr>
        <b/>
        <vertAlign val="subscript"/>
        <sz val="11"/>
        <color rgb="FF000000"/>
        <rFont val="Times New Roman"/>
        <family val="1"/>
      </rPr>
      <t>2</t>
    </r>
  </si>
  <si>
    <r>
      <t>x</t>
    </r>
    <r>
      <rPr>
        <b/>
        <vertAlign val="subscript"/>
        <sz val="11"/>
        <color rgb="FF000000"/>
        <rFont val="Times New Roman"/>
        <family val="1"/>
      </rPr>
      <t>2</t>
    </r>
  </si>
  <si>
    <r>
      <t>x</t>
    </r>
    <r>
      <rPr>
        <b/>
        <vertAlign val="subscript"/>
        <sz val="11"/>
        <color rgb="FF000000"/>
        <rFont val="Times New Roman"/>
        <family val="1"/>
      </rPr>
      <t>1</t>
    </r>
  </si>
  <si>
    <r>
      <t>Analysis from R</t>
    </r>
    <r>
      <rPr>
        <b/>
        <vertAlign val="superscript"/>
        <sz val="12"/>
        <color theme="1"/>
        <rFont val="Times New Roman"/>
        <family val="1"/>
      </rPr>
      <t>2</t>
    </r>
  </si>
  <si>
    <t>ȳ</t>
  </si>
  <si>
    <t>Other Stats.</t>
  </si>
  <si>
    <t>Normal Matrix Formulation and Coefficients</t>
  </si>
  <si>
    <t>Pred.</t>
  </si>
  <si>
    <t>Actual</t>
  </si>
  <si>
    <t>=MMULT(PseudoInv(J8:M11),J3:J6)</t>
  </si>
  <si>
    <t>=MMULT(TRANSPOSE(J8:M11),J3:J6)</t>
  </si>
  <si>
    <r>
      <t>X</t>
    </r>
    <r>
      <rPr>
        <b/>
        <vertAlign val="superscript"/>
        <sz val="12"/>
        <color theme="1"/>
        <rFont val="Calibri (Body)"/>
      </rPr>
      <t>T</t>
    </r>
    <r>
      <rPr>
        <b/>
        <sz val="12"/>
        <color theme="1"/>
        <rFont val="Calibri"/>
        <family val="2"/>
        <scheme val="minor"/>
      </rPr>
      <t>y</t>
    </r>
  </si>
  <si>
    <t>=MMULT(TRANSPOSE(J8:L11),J8:L11)</t>
  </si>
  <si>
    <t>=MMULT(PseudoInv(a8:C11),A3:A6)</t>
  </si>
  <si>
    <t>=MMULT(TRANSPOSE(A8:D11),A3:A6)</t>
  </si>
  <si>
    <r>
      <t>X</t>
    </r>
    <r>
      <rPr>
        <b/>
        <vertAlign val="superscript"/>
        <sz val="12"/>
        <color theme="1"/>
        <rFont val="Calibri (Body)"/>
      </rPr>
      <t>T</t>
    </r>
    <r>
      <rPr>
        <b/>
        <sz val="12"/>
        <color theme="1"/>
        <rFont val="Calibri"/>
        <family val="2"/>
        <scheme val="minor"/>
      </rPr>
      <t>X  =MMULT(TRANSPOSE(A8:C11),A8:C111)</t>
    </r>
  </si>
  <si>
    <t>Recalculation</t>
  </si>
  <si>
    <t>=MMULT(MINVERSE(N3:Q6),N8:N11)</t>
  </si>
  <si>
    <t>=MMULT(TRANSPOSE(J9:M12),J4:J7)</t>
  </si>
  <si>
    <t>=MMULT(MINVERSE(E3:H6),E8:E11)</t>
  </si>
  <si>
    <t>−1.0</t>
  </si>
  <si>
    <r>
      <t>X</t>
    </r>
    <r>
      <rPr>
        <b/>
        <vertAlign val="superscript"/>
        <sz val="12"/>
        <color theme="1"/>
        <rFont val="Calibri (Body)"/>
      </rPr>
      <t>T</t>
    </r>
    <r>
      <rPr>
        <b/>
        <sz val="12"/>
        <color theme="1"/>
        <rFont val="Calibri"/>
        <family val="2"/>
        <scheme val="minor"/>
      </rPr>
      <t>X  =MMULT(TRANSPOSE(J8:M11),J8:M11)</t>
    </r>
  </si>
  <si>
    <r>
      <t>X</t>
    </r>
    <r>
      <rPr>
        <b/>
        <vertAlign val="superscript"/>
        <sz val="12"/>
        <color theme="1"/>
        <rFont val="Calibri (Body)"/>
      </rPr>
      <t>T</t>
    </r>
    <r>
      <rPr>
        <b/>
        <sz val="12"/>
        <color theme="1"/>
        <rFont val="Calibri"/>
        <family val="2"/>
        <scheme val="minor"/>
      </rPr>
      <t>X  =MMULT(TRANSPOSE(A8:D11),A8:D11</t>
    </r>
  </si>
  <si>
    <t>Investigator 2</t>
  </si>
  <si>
    <t>Investigator 1</t>
  </si>
  <si>
    <r>
      <rPr>
        <b/>
        <i/>
        <sz val="12"/>
        <color theme="1"/>
        <rFont val="Times New Roman"/>
        <family val="1"/>
      </rPr>
      <t>x</t>
    </r>
    <r>
      <rPr>
        <b/>
        <vertAlign val="superscript"/>
        <sz val="12"/>
        <color theme="1"/>
        <rFont val="Times New Roman"/>
        <family val="1"/>
      </rPr>
      <t>3</t>
    </r>
  </si>
  <si>
    <r>
      <rPr>
        <b/>
        <i/>
        <sz val="12"/>
        <color theme="1"/>
        <rFont val="Times New Roman"/>
        <family val="1"/>
      </rPr>
      <t>x</t>
    </r>
    <r>
      <rPr>
        <b/>
        <vertAlign val="superscript"/>
        <sz val="12"/>
        <color theme="1"/>
        <rFont val="Times New Roman"/>
        <family val="1"/>
      </rPr>
      <t>2</t>
    </r>
  </si>
  <si>
    <r>
      <rPr>
        <b/>
        <i/>
        <sz val="12"/>
        <color theme="1"/>
        <rFont val="Times New Roman"/>
        <family val="1"/>
      </rPr>
      <t>x</t>
    </r>
    <r>
      <rPr>
        <b/>
        <vertAlign val="superscript"/>
        <sz val="12"/>
        <color theme="1"/>
        <rFont val="Times New Roman"/>
        <family val="1"/>
      </rPr>
      <t>1</t>
    </r>
  </si>
  <si>
    <r>
      <rPr>
        <b/>
        <i/>
        <sz val="12"/>
        <color theme="1"/>
        <rFont val="Times New Roman"/>
        <family val="1"/>
      </rPr>
      <t>x</t>
    </r>
    <r>
      <rPr>
        <b/>
        <vertAlign val="superscript"/>
        <sz val="12"/>
        <color theme="1"/>
        <rFont val="Times New Roman"/>
        <family val="1"/>
      </rPr>
      <t>0</t>
    </r>
  </si>
  <si>
    <r>
      <rPr>
        <b/>
        <i/>
        <sz val="12"/>
        <color theme="1"/>
        <rFont val="Times New Roman"/>
        <family val="1"/>
      </rPr>
      <t>a</t>
    </r>
    <r>
      <rPr>
        <b/>
        <vertAlign val="subscript"/>
        <sz val="12"/>
        <color theme="1"/>
        <rFont val="Times New Roman"/>
        <family val="1"/>
      </rPr>
      <t>3</t>
    </r>
  </si>
  <si>
    <r>
      <rPr>
        <b/>
        <i/>
        <sz val="12"/>
        <color theme="1"/>
        <rFont val="Times New Roman"/>
        <family val="1"/>
      </rPr>
      <t>a</t>
    </r>
    <r>
      <rPr>
        <b/>
        <vertAlign val="subscript"/>
        <sz val="12"/>
        <color theme="1"/>
        <rFont val="Times New Roman"/>
        <family val="1"/>
      </rPr>
      <t>2</t>
    </r>
  </si>
  <si>
    <r>
      <rPr>
        <b/>
        <i/>
        <sz val="12"/>
        <color theme="1"/>
        <rFont val="Times New Roman"/>
        <family val="1"/>
      </rPr>
      <t>a</t>
    </r>
    <r>
      <rPr>
        <b/>
        <vertAlign val="subscript"/>
        <sz val="12"/>
        <color theme="1"/>
        <rFont val="Times New Roman"/>
        <family val="1"/>
      </rPr>
      <t>1</t>
    </r>
  </si>
  <si>
    <r>
      <t>s</t>
    </r>
    <r>
      <rPr>
        <b/>
        <i/>
        <vertAlign val="subscript"/>
        <sz val="12"/>
        <color theme="1"/>
        <rFont val="Times New Roman"/>
        <family val="1"/>
      </rPr>
      <t>x</t>
    </r>
  </si>
  <si>
    <r>
      <t>s</t>
    </r>
    <r>
      <rPr>
        <b/>
        <vertAlign val="subscript"/>
        <sz val="12"/>
        <color theme="1"/>
        <rFont val="Times New Roman"/>
        <family val="1"/>
      </rPr>
      <t>y</t>
    </r>
    <r>
      <rPr>
        <b/>
        <sz val="12"/>
        <color theme="1"/>
        <rFont val="Times New Roman"/>
        <family val="1"/>
      </rPr>
      <t xml:space="preserve"> =</t>
    </r>
  </si>
  <si>
    <r>
      <t>a</t>
    </r>
    <r>
      <rPr>
        <b/>
        <i/>
        <sz val="12"/>
        <color theme="1"/>
        <rFont val="Times New Roman"/>
        <family val="1"/>
      </rPr>
      <t>'</t>
    </r>
  </si>
  <si>
    <t>t-tests on Effects</t>
  </si>
  <si>
    <r>
      <rPr>
        <b/>
        <i/>
        <sz val="12"/>
        <color theme="1"/>
        <rFont val="Times New Roman"/>
        <family val="1"/>
      </rPr>
      <t>a</t>
    </r>
    <r>
      <rPr>
        <b/>
        <vertAlign val="subscript"/>
        <sz val="12"/>
        <color theme="1"/>
        <rFont val="Times New Roman"/>
        <family val="1"/>
      </rPr>
      <t>crit</t>
    </r>
  </si>
  <si>
    <r>
      <rPr>
        <b/>
        <i/>
        <sz val="12"/>
        <color theme="1"/>
        <rFont val="Times New Roman"/>
        <family val="1"/>
      </rPr>
      <t>t</t>
    </r>
    <r>
      <rPr>
        <b/>
        <vertAlign val="subscript"/>
        <sz val="12"/>
        <color theme="1"/>
        <rFont val="Times New Roman"/>
        <family val="1"/>
      </rPr>
      <t>crit</t>
    </r>
  </si>
  <si>
    <r>
      <rPr>
        <b/>
        <i/>
        <sz val="12"/>
        <color theme="1"/>
        <rFont val="Times New Roman"/>
        <family val="1"/>
      </rPr>
      <t>F</t>
    </r>
    <r>
      <rPr>
        <b/>
        <vertAlign val="subscript"/>
        <sz val="12"/>
        <color theme="1"/>
        <rFont val="Times New Roman"/>
        <family val="1"/>
      </rPr>
      <t>crit</t>
    </r>
  </si>
  <si>
    <r>
      <t>Critical Values,</t>
    </r>
    <r>
      <rPr>
        <b/>
        <i/>
        <sz val="11"/>
        <color theme="1"/>
        <rFont val="Times New Roman"/>
        <family val="1"/>
      </rPr>
      <t xml:space="preserve"> p</t>
    </r>
    <r>
      <rPr>
        <b/>
        <sz val="11"/>
        <color theme="1"/>
        <rFont val="Times New Roman"/>
        <family val="1"/>
      </rPr>
      <t>=0.05</t>
    </r>
  </si>
  <si>
    <r>
      <t>R</t>
    </r>
    <r>
      <rPr>
        <b/>
        <i/>
        <vertAlign val="subscript"/>
        <sz val="12"/>
        <color theme="1"/>
        <rFont val="Times New Roman"/>
        <family val="1"/>
      </rPr>
      <t>k</t>
    </r>
    <r>
      <rPr>
        <b/>
        <vertAlign val="superscript"/>
        <sz val="12"/>
        <color theme="1"/>
        <rFont val="Times New Roman"/>
        <family val="1"/>
      </rPr>
      <t>2</t>
    </r>
  </si>
  <si>
    <r>
      <t>a</t>
    </r>
    <r>
      <rPr>
        <b/>
        <i/>
        <sz val="12"/>
        <color theme="1"/>
        <rFont val="Times New Roman"/>
        <family val="1"/>
      </rPr>
      <t>'</t>
    </r>
    <r>
      <rPr>
        <b/>
        <sz val="12"/>
        <color theme="1"/>
        <rFont val="Times New Roman"/>
        <family val="1"/>
      </rPr>
      <t xml:space="preserve"> corr.</t>
    </r>
  </si>
  <si>
    <r>
      <t>Span for x</t>
    </r>
    <r>
      <rPr>
        <i/>
        <sz val="12"/>
        <color theme="1"/>
        <rFont val="Times New Roman"/>
        <family val="1"/>
      </rPr>
      <t>'</t>
    </r>
  </si>
  <si>
    <r>
      <t>L</t>
    </r>
    <r>
      <rPr>
        <b/>
        <vertAlign val="superscript"/>
        <sz val="12"/>
        <color theme="1"/>
        <rFont val="Times New Roman"/>
        <family val="1"/>
      </rPr>
      <t>-T</t>
    </r>
    <r>
      <rPr>
        <b/>
        <sz val="12"/>
        <color theme="1"/>
        <rFont val="Times New Roman"/>
        <family val="1"/>
      </rPr>
      <t>=[(wX</t>
    </r>
    <r>
      <rPr>
        <b/>
        <i/>
        <sz val="12"/>
        <color theme="1"/>
        <rFont val="Times New Roman"/>
        <family val="1"/>
      </rPr>
      <t>'</t>
    </r>
    <r>
      <rPr>
        <b/>
        <sz val="12"/>
        <color theme="1"/>
        <rFont val="Times New Roman"/>
        <family val="1"/>
      </rPr>
      <t>)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(wX</t>
    </r>
    <r>
      <rPr>
        <b/>
        <i/>
        <sz val="12"/>
        <color theme="1"/>
        <rFont val="Times New Roman"/>
        <family val="1"/>
      </rPr>
      <t>'</t>
    </r>
    <r>
      <rPr>
        <b/>
        <sz val="12"/>
        <color theme="1"/>
        <rFont val="Times New Roman"/>
        <family val="1"/>
      </rPr>
      <t>)]</t>
    </r>
    <r>
      <rPr>
        <b/>
        <vertAlign val="superscript"/>
        <sz val="12"/>
        <color theme="1"/>
        <rFont val="Times New Roman"/>
        <family val="1"/>
      </rPr>
      <t>-T</t>
    </r>
  </si>
  <si>
    <r>
      <t>H</t>
    </r>
    <r>
      <rPr>
        <b/>
        <vertAlign val="subscript"/>
        <sz val="12"/>
        <color theme="1"/>
        <rFont val="Times New Roman"/>
        <family val="1"/>
      </rPr>
      <t>5</t>
    </r>
  </si>
  <si>
    <r>
      <t>H</t>
    </r>
    <r>
      <rPr>
        <b/>
        <vertAlign val="subscript"/>
        <sz val="12"/>
        <color theme="1"/>
        <rFont val="Times New Roman"/>
        <family val="1"/>
      </rPr>
      <t>4</t>
    </r>
  </si>
  <si>
    <r>
      <t>H</t>
    </r>
    <r>
      <rPr>
        <b/>
        <vertAlign val="subscript"/>
        <sz val="12"/>
        <color theme="1"/>
        <rFont val="Times New Roman"/>
        <family val="1"/>
      </rPr>
      <t>3</t>
    </r>
  </si>
  <si>
    <r>
      <t>H</t>
    </r>
    <r>
      <rPr>
        <b/>
        <vertAlign val="subscript"/>
        <sz val="12"/>
        <color theme="1"/>
        <rFont val="Times New Roman"/>
        <family val="1"/>
      </rPr>
      <t>2</t>
    </r>
  </si>
  <si>
    <r>
      <t>wx</t>
    </r>
    <r>
      <rPr>
        <b/>
        <vertAlign val="superscript"/>
        <sz val="12"/>
        <color theme="1"/>
        <rFont val="Times New Roman"/>
        <family val="1"/>
      </rPr>
      <t>5</t>
    </r>
  </si>
  <si>
    <r>
      <t>wx</t>
    </r>
    <r>
      <rPr>
        <b/>
        <vertAlign val="superscript"/>
        <sz val="12"/>
        <color theme="1"/>
        <rFont val="Times New Roman"/>
        <family val="1"/>
      </rPr>
      <t>4</t>
    </r>
  </si>
  <si>
    <r>
      <t>wx</t>
    </r>
    <r>
      <rPr>
        <b/>
        <vertAlign val="superscript"/>
        <sz val="12"/>
        <color theme="1"/>
        <rFont val="Times New Roman"/>
        <family val="1"/>
      </rPr>
      <t>3</t>
    </r>
  </si>
  <si>
    <r>
      <t>w⋅x</t>
    </r>
    <r>
      <rPr>
        <b/>
        <vertAlign val="superscript"/>
        <sz val="12"/>
        <color theme="1"/>
        <rFont val="Times New Roman"/>
        <family val="1"/>
      </rPr>
      <t>2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</si>
  <si>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vertAlign val="superscript"/>
        <sz val="12"/>
        <color theme="1"/>
        <rFont val="Times New Roman"/>
        <family val="1"/>
      </rPr>
      <t>9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</si>
  <si>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vertAlign val="superscript"/>
        <sz val="12"/>
        <color theme="1"/>
        <rFont val="Times New Roman"/>
        <family val="1"/>
      </rPr>
      <t>8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</si>
  <si>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vertAlign val="superscript"/>
        <sz val="12"/>
        <color theme="1"/>
        <rFont val="Times New Roman"/>
        <family val="1"/>
      </rPr>
      <t>7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</si>
  <si>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vertAlign val="superscript"/>
        <sz val="12"/>
        <color theme="1"/>
        <rFont val="Times New Roman"/>
        <family val="1"/>
      </rPr>
      <t>6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</si>
  <si>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vertAlign val="superscript"/>
        <sz val="12"/>
        <color theme="1"/>
        <rFont val="Times New Roman"/>
        <family val="1"/>
      </rPr>
      <t>5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</si>
  <si>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vertAlign val="superscript"/>
        <sz val="12"/>
        <color theme="1"/>
        <rFont val="Times New Roman"/>
        <family val="1"/>
      </rPr>
      <t>4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</si>
  <si>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vertAlign val="superscript"/>
        <sz val="12"/>
        <color theme="1"/>
        <rFont val="Times New Roman"/>
        <family val="1"/>
      </rPr>
      <t>3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</si>
  <si>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vertAlign val="superscript"/>
        <sz val="12"/>
        <color theme="1"/>
        <rFont val="Times New Roman"/>
        <family val="1"/>
      </rPr>
      <t>2</t>
    </r>
  </si>
  <si>
    <r>
      <t>wx</t>
    </r>
    <r>
      <rPr>
        <b/>
        <i/>
        <sz val="12"/>
        <color theme="1"/>
        <rFont val="Times New Roman"/>
        <family val="1"/>
      </rPr>
      <t>'</t>
    </r>
  </si>
  <si>
    <t>w</t>
  </si>
  <si>
    <r>
      <t>H</t>
    </r>
    <r>
      <rPr>
        <b/>
        <vertAlign val="subscript"/>
        <sz val="12"/>
        <color theme="1"/>
        <rFont val="Times New Roman"/>
        <family val="1"/>
      </rPr>
      <t>9</t>
    </r>
  </si>
  <si>
    <r>
      <t>H</t>
    </r>
    <r>
      <rPr>
        <b/>
        <vertAlign val="subscript"/>
        <sz val="12"/>
        <color theme="1"/>
        <rFont val="Times New Roman"/>
        <family val="1"/>
      </rPr>
      <t>8</t>
    </r>
  </si>
  <si>
    <r>
      <t>H</t>
    </r>
    <r>
      <rPr>
        <b/>
        <vertAlign val="subscript"/>
        <sz val="12"/>
        <color theme="1"/>
        <rFont val="Times New Roman"/>
        <family val="1"/>
      </rPr>
      <t>7</t>
    </r>
  </si>
  <si>
    <r>
      <t>H</t>
    </r>
    <r>
      <rPr>
        <b/>
        <vertAlign val="subscript"/>
        <sz val="12"/>
        <color theme="1"/>
        <rFont val="Times New Roman"/>
        <family val="1"/>
      </rPr>
      <t>6</t>
    </r>
  </si>
  <si>
    <r>
      <t>P</t>
    </r>
    <r>
      <rPr>
        <b/>
        <vertAlign val="subscript"/>
        <sz val="12"/>
        <color theme="1"/>
        <rFont val="Times New Roman"/>
        <family val="1"/>
      </rPr>
      <t>1</t>
    </r>
  </si>
  <si>
    <r>
      <t>P</t>
    </r>
    <r>
      <rPr>
        <b/>
        <vertAlign val="subscript"/>
        <sz val="12"/>
        <color theme="1"/>
        <rFont val="Times New Roman"/>
        <family val="1"/>
      </rPr>
      <t>0</t>
    </r>
  </si>
  <si>
    <r>
      <t>wx</t>
    </r>
    <r>
      <rPr>
        <b/>
        <vertAlign val="superscript"/>
        <sz val="12"/>
        <color theme="1"/>
        <rFont val="Times New Roman"/>
        <family val="1"/>
      </rPr>
      <t>9</t>
    </r>
  </si>
  <si>
    <r>
      <t>wx</t>
    </r>
    <r>
      <rPr>
        <b/>
        <vertAlign val="superscript"/>
        <sz val="12"/>
        <color theme="1"/>
        <rFont val="Times New Roman"/>
        <family val="1"/>
      </rPr>
      <t>8</t>
    </r>
  </si>
  <si>
    <r>
      <t>wx</t>
    </r>
    <r>
      <rPr>
        <b/>
        <vertAlign val="superscript"/>
        <sz val="12"/>
        <color theme="1"/>
        <rFont val="Times New Roman"/>
        <family val="1"/>
      </rPr>
      <t>7</t>
    </r>
  </si>
  <si>
    <r>
      <t>wx</t>
    </r>
    <r>
      <rPr>
        <b/>
        <vertAlign val="superscript"/>
        <sz val="12"/>
        <color theme="1"/>
        <rFont val="Times New Roman"/>
        <family val="1"/>
      </rPr>
      <t>6</t>
    </r>
  </si>
  <si>
    <t>wx</t>
  </si>
  <si>
    <r>
      <t>x</t>
    </r>
    <r>
      <rPr>
        <b/>
        <i/>
        <sz val="12"/>
        <color theme="1"/>
        <rFont val="Times New Roman"/>
        <family val="1"/>
      </rPr>
      <t>'</t>
    </r>
  </si>
  <si>
    <r>
      <t>(wX</t>
    </r>
    <r>
      <rPr>
        <b/>
        <i/>
        <sz val="12"/>
        <color theme="1"/>
        <rFont val="Times New Roman"/>
        <family val="1"/>
      </rPr>
      <t>'</t>
    </r>
    <r>
      <rPr>
        <b/>
        <sz val="12"/>
        <color theme="1"/>
        <rFont val="Times New Roman"/>
        <family val="1"/>
      </rPr>
      <t>)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(wX</t>
    </r>
    <r>
      <rPr>
        <b/>
        <i/>
        <sz val="12"/>
        <color theme="1"/>
        <rFont val="Times New Roman"/>
        <family val="1"/>
      </rPr>
      <t>'</t>
    </r>
    <r>
      <rPr>
        <b/>
        <sz val="12"/>
        <color theme="1"/>
        <rFont val="Times New Roman"/>
        <family val="1"/>
      </rPr>
      <t>)</t>
    </r>
  </si>
  <si>
    <r>
      <t>P= wX</t>
    </r>
    <r>
      <rPr>
        <b/>
        <i/>
        <sz val="12"/>
        <color theme="1"/>
        <rFont val="Times New Roman"/>
        <family val="1"/>
      </rPr>
      <t>'</t>
    </r>
    <r>
      <rPr>
        <b/>
        <sz val="12"/>
        <color theme="1"/>
        <rFont val="Times New Roman"/>
        <family val="1"/>
      </rPr>
      <t>L</t>
    </r>
    <r>
      <rPr>
        <b/>
        <vertAlign val="superscript"/>
        <sz val="12"/>
        <color theme="1"/>
        <rFont val="Times New Roman"/>
        <family val="1"/>
      </rPr>
      <t>-T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</si>
  <si>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sz val="12"/>
        <color theme="1"/>
        <rFont val="Times New Roman"/>
        <family val="1"/>
      </rPr>
      <t>Matrix</t>
    </r>
  </si>
  <si>
    <r>
      <t>a</t>
    </r>
    <r>
      <rPr>
        <vertAlign val="subscript"/>
        <sz val="12"/>
        <color rgb="FF000000"/>
        <rFont val="Times New Roman"/>
        <family val="1"/>
      </rPr>
      <t>12</t>
    </r>
  </si>
  <si>
    <r>
      <t>a</t>
    </r>
    <r>
      <rPr>
        <vertAlign val="subscript"/>
        <sz val="12"/>
        <color rgb="FF000000"/>
        <rFont val="Times New Roman"/>
        <family val="1"/>
      </rPr>
      <t>2</t>
    </r>
  </si>
  <si>
    <r>
      <t>a</t>
    </r>
    <r>
      <rPr>
        <vertAlign val="subscript"/>
        <sz val="12"/>
        <color rgb="FF000000"/>
        <rFont val="Times New Roman"/>
        <family val="1"/>
      </rPr>
      <t>1</t>
    </r>
  </si>
  <si>
    <r>
      <t>a</t>
    </r>
    <r>
      <rPr>
        <vertAlign val="subscript"/>
        <sz val="12"/>
        <color rgb="FF000000"/>
        <rFont val="Times New Roman"/>
        <family val="1"/>
      </rPr>
      <t>0</t>
    </r>
  </si>
  <si>
    <r>
      <t>√x</t>
    </r>
    <r>
      <rPr>
        <b/>
        <vertAlign val="subscript"/>
        <sz val="12"/>
        <color theme="1"/>
        <rFont val="Times New Roman"/>
        <family val="1"/>
      </rPr>
      <t>1</t>
    </r>
    <r>
      <rPr>
        <b/>
        <sz val="12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2</t>
    </r>
  </si>
  <si>
    <r>
      <t>ln x</t>
    </r>
    <r>
      <rPr>
        <b/>
        <vertAlign val="subscript"/>
        <sz val="12"/>
        <color theme="1"/>
        <rFont val="Times New Roman"/>
        <family val="1"/>
      </rPr>
      <t>2</t>
    </r>
  </si>
  <si>
    <r>
      <t>sin x</t>
    </r>
    <r>
      <rPr>
        <b/>
        <vertAlign val="subscript"/>
        <sz val="12"/>
        <color theme="1"/>
        <rFont val="Times New Roman"/>
        <family val="1"/>
      </rPr>
      <t>1</t>
    </r>
  </si>
  <si>
    <t>e</t>
  </si>
  <si>
    <r>
      <t>y</t>
    </r>
    <r>
      <rPr>
        <b/>
        <sz val="12"/>
        <color theme="1"/>
        <rFont val="Calibri"/>
        <family val="2"/>
      </rPr>
      <t>̂</t>
    </r>
  </si>
  <si>
    <t>Original Table</t>
  </si>
  <si>
    <t>=</t>
  </si>
  <si>
    <t>https://real-statistics.com/free-download/</t>
  </si>
  <si>
    <t>These spreadsheets require the Add-in found here:</t>
  </si>
  <si>
    <t>=MMULT(PseudoInv(E3:H11),C3:C11)</t>
  </si>
  <si>
    <t>does not have an attached pathway.  For example, commands should appear as something like</t>
  </si>
  <si>
    <t>=SQRT(DIAG(H7:K10)*D4)</t>
  </si>
  <si>
    <t>=MMULT('C\attached pathway\PseudoInv(E3:H11),C3:C11)</t>
  </si>
  <si>
    <t>If the command appears instead as something like</t>
  </si>
  <si>
    <t>then please strip out the  pathway to give this:</t>
  </si>
  <si>
    <t>=VIF(H$3:L$14,1), etc.</t>
  </si>
  <si>
    <t>Ctrl + Shft + Enter (Windows) or Cmd + Shft + Enter (Mac)</t>
  </si>
  <si>
    <t>Follow the instructions there to add the Real Statistics functions. (Last accessed 3/2/2025)</t>
  </si>
  <si>
    <t>Range commands require that the range be first highlighted and the result given by pressing</t>
  </si>
  <si>
    <t>with the cursor in the formula bar as the key sequence is pressed.</t>
  </si>
  <si>
    <t>That will apply the calculation to the selected range instead of  just one cell.</t>
  </si>
  <si>
    <t>If any cell shows as #######, please check the command line to be sure that the command</t>
  </si>
  <si>
    <t>For example, to apply the MDETERM command to the cells B2:D4, select those cells,</t>
  </si>
  <si>
    <t>place the cursor after the command, and hit Ctrl + Shft + Enter (Windows) or Cmd + Shft + Enter (Mac)</t>
  </si>
  <si>
    <t>See the worksheet "p 109" for an example.</t>
  </si>
  <si>
    <t>Coeff</t>
  </si>
  <si>
    <r>
      <t>p</t>
    </r>
    <r>
      <rPr>
        <b/>
        <vertAlign val="subscript"/>
        <sz val="11"/>
        <rFont val="Calibri"/>
        <family val="2"/>
      </rPr>
      <t>α</t>
    </r>
  </si>
  <si>
    <r>
      <t>p</t>
    </r>
    <r>
      <rPr>
        <b/>
        <vertAlign val="subscript"/>
        <sz val="11"/>
        <rFont val="Calibri"/>
        <family val="2"/>
      </rPr>
      <t>β</t>
    </r>
  </si>
  <si>
    <t>PWR</t>
  </si>
  <si>
    <t>0</t>
  </si>
  <si>
    <t>1</t>
  </si>
  <si>
    <t>2</t>
  </si>
  <si>
    <t>3</t>
  </si>
  <si>
    <t>4</t>
  </si>
  <si>
    <t>11</t>
  </si>
  <si>
    <t>14</t>
  </si>
  <si>
    <t>23</t>
  </si>
  <si>
    <t>Standarized NOx</t>
  </si>
  <si>
    <t>Standardized X Matrix</t>
  </si>
  <si>
    <r>
      <t>X</t>
    </r>
    <r>
      <rPr>
        <b/>
        <vertAlign val="superscript"/>
        <sz val="11"/>
        <color rgb="FF000000"/>
        <rFont val="Calibri"/>
        <family val="2"/>
      </rPr>
      <t>T</t>
    </r>
    <r>
      <rPr>
        <b/>
        <sz val="11"/>
        <color indexed="8"/>
        <rFont val="Calibri"/>
        <family val="2"/>
      </rPr>
      <t>X Matrix</t>
    </r>
  </si>
  <si>
    <t>Points for Graph</t>
  </si>
  <si>
    <t>y adj</t>
  </si>
  <si>
    <t>ŷ adj</t>
  </si>
  <si>
    <t>1. O2</t>
  </si>
  <si>
    <t>2. Fuel</t>
  </si>
  <si>
    <t>3. Temp</t>
  </si>
  <si>
    <t>4. Brnr</t>
  </si>
  <si>
    <t>LL t</t>
  </si>
  <si>
    <t>Type I</t>
  </si>
  <si>
    <t>Type II</t>
  </si>
  <si>
    <t>UL t</t>
  </si>
  <si>
    <r>
      <t>p</t>
    </r>
    <r>
      <rPr>
        <b/>
        <vertAlign val="subscript"/>
        <sz val="11"/>
        <rFont val="Calibri"/>
        <family val="2"/>
      </rPr>
      <t>α</t>
    </r>
    <r>
      <rPr>
        <b/>
        <sz val="11"/>
        <rFont val="Calibri"/>
        <family val="2"/>
      </rPr>
      <t>(t)</t>
    </r>
  </si>
  <si>
    <r>
      <t>p</t>
    </r>
    <r>
      <rPr>
        <b/>
        <vertAlign val="subscript"/>
        <sz val="11"/>
        <rFont val="Calibri"/>
        <family val="2"/>
      </rPr>
      <t>β</t>
    </r>
    <r>
      <rPr>
        <b/>
        <sz val="11"/>
        <rFont val="Calibri"/>
        <family val="2"/>
      </rPr>
      <t>(t)</t>
    </r>
  </si>
  <si>
    <r>
      <t>(X</t>
    </r>
    <r>
      <rPr>
        <b/>
        <vertAlign val="superscript"/>
        <sz val="11"/>
        <color rgb="FF000000"/>
        <rFont val="Calibri"/>
        <family val="2"/>
      </rPr>
      <t>T</t>
    </r>
    <r>
      <rPr>
        <b/>
        <sz val="11"/>
        <color indexed="8"/>
        <rFont val="Calibri"/>
        <family val="2"/>
      </rPr>
      <t>X)</t>
    </r>
    <r>
      <rPr>
        <b/>
        <vertAlign val="superscript"/>
        <sz val="11"/>
        <color rgb="FF000000"/>
        <rFont val="Calibri"/>
        <family val="2"/>
      </rPr>
      <t>-1</t>
    </r>
    <r>
      <rPr>
        <b/>
        <sz val="11"/>
        <color indexed="8"/>
        <rFont val="Calibri"/>
        <family val="2"/>
      </rPr>
      <t xml:space="preserve"> Matrix</t>
    </r>
  </si>
  <si>
    <t>Critical Values</t>
  </si>
  <si>
    <r>
      <t>H</t>
    </r>
    <r>
      <rPr>
        <b/>
        <vertAlign val="subscript"/>
        <sz val="11"/>
        <rFont val="Calibri"/>
        <family val="2"/>
      </rPr>
      <t>0</t>
    </r>
  </si>
  <si>
    <r>
      <t>H</t>
    </r>
    <r>
      <rPr>
        <b/>
        <vertAlign val="subscript"/>
        <sz val="11"/>
        <rFont val="Calibri"/>
        <family val="2"/>
      </rPr>
      <t>A</t>
    </r>
  </si>
  <si>
    <r>
      <t>X</t>
    </r>
    <r>
      <rPr>
        <b/>
        <vertAlign val="superscript"/>
        <sz val="11"/>
        <rFont val="Calibri"/>
        <family val="2"/>
      </rPr>
      <t>T</t>
    </r>
    <r>
      <rPr>
        <b/>
        <sz val="11"/>
        <rFont val="Calibri"/>
        <family val="2"/>
      </rPr>
      <t>y</t>
    </r>
  </si>
  <si>
    <t>p at LCL</t>
  </si>
  <si>
    <r>
      <t>R</t>
    </r>
    <r>
      <rPr>
        <b/>
        <vertAlign val="superscript"/>
        <sz val="11"/>
        <rFont val="Calibri"/>
        <family val="2"/>
      </rPr>
      <t>2</t>
    </r>
    <r>
      <rPr>
        <b/>
        <sz val="11"/>
        <rFont val="Calibri"/>
        <family val="2"/>
      </rPr>
      <t xml:space="preserve"> =</t>
    </r>
  </si>
  <si>
    <r>
      <t>cum. p</t>
    </r>
    <r>
      <rPr>
        <b/>
        <vertAlign val="subscript"/>
        <sz val="11"/>
        <rFont val="Calibri"/>
        <family val="2"/>
      </rPr>
      <t>β</t>
    </r>
  </si>
  <si>
    <r>
      <t>R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=</t>
    </r>
  </si>
  <si>
    <r>
      <t>(X</t>
    </r>
    <r>
      <rPr>
        <b/>
        <vertAlign val="super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>X)</t>
    </r>
    <r>
      <rPr>
        <b/>
        <vertAlign val="superscript"/>
        <sz val="11"/>
        <color theme="1"/>
        <rFont val="Calibri"/>
        <family val="2"/>
        <scheme val="minor"/>
      </rPr>
      <t>-1</t>
    </r>
  </si>
  <si>
    <t xml:space="preserve">ȳ </t>
  </si>
  <si>
    <r>
      <t>a</t>
    </r>
    <r>
      <rPr>
        <b/>
        <vertAlign val="subscript"/>
        <sz val="11"/>
        <color theme="1"/>
        <rFont val="Calibri"/>
        <family val="2"/>
        <scheme val="minor"/>
      </rPr>
      <t>(k)</t>
    </r>
  </si>
  <si>
    <r>
      <t>X</t>
    </r>
    <r>
      <rPr>
        <b/>
        <vertAlign val="super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>X</t>
    </r>
  </si>
  <si>
    <t>L [ft]</t>
  </si>
  <si>
    <r>
      <t xml:space="preserve">[%], </t>
    </r>
    <r>
      <rPr>
        <b/>
        <sz val="11"/>
        <color theme="1"/>
        <rFont val="Garamond"/>
        <family val="1"/>
      </rPr>
      <t>ξ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</si>
  <si>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 xml:space="preserve">[%], </t>
    </r>
    <r>
      <rPr>
        <b/>
        <sz val="11"/>
        <color theme="1"/>
        <rFont val="Garamond"/>
        <family val="1"/>
      </rPr>
      <t>ξ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</si>
  <si>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a</t>
    </r>
    <r>
      <rPr>
        <b/>
        <vertAlign val="subscript"/>
        <sz val="11"/>
        <color theme="1"/>
        <rFont val="Calibri"/>
        <family val="2"/>
        <scheme val="minor"/>
      </rPr>
      <t>(2)</t>
    </r>
  </si>
  <si>
    <r>
      <t>a</t>
    </r>
    <r>
      <rPr>
        <b/>
        <vertAlign val="subscript"/>
        <sz val="11"/>
        <color theme="1"/>
        <rFont val="Calibri"/>
        <family val="2"/>
        <scheme val="minor"/>
      </rPr>
      <t>(1)</t>
    </r>
  </si>
  <si>
    <r>
      <t>a</t>
    </r>
    <r>
      <rPr>
        <b/>
        <vertAlign val="subscript"/>
        <sz val="11"/>
        <color theme="1"/>
        <rFont val="Calibri"/>
        <family val="2"/>
        <scheme val="minor"/>
      </rPr>
      <t>(0)</t>
    </r>
  </si>
  <si>
    <t>Flame</t>
  </si>
  <si>
    <t>Load</t>
  </si>
  <si>
    <r>
      <rPr>
        <b/>
        <sz val="11"/>
        <color theme="1"/>
        <rFont val="Garamond"/>
        <family val="1"/>
      </rPr>
      <t>ξ</t>
    </r>
    <r>
      <rPr>
        <b/>
        <vertAlign val="subscript"/>
        <sz val="11"/>
        <color theme="1"/>
        <rFont val="Calibri"/>
        <family val="2"/>
        <scheme val="minor"/>
      </rPr>
      <t>0</t>
    </r>
  </si>
  <si>
    <t>Coeff. with deletion</t>
  </si>
  <si>
    <r>
      <t xml:space="preserve">DFBETAS, [a </t>
    </r>
    <r>
      <rPr>
        <b/>
        <sz val="11"/>
        <color theme="1"/>
        <rFont val="Garamond"/>
        <family val="1"/>
      </rPr>
      <t>–</t>
    </r>
    <r>
      <rPr>
        <b/>
        <sz val="11"/>
        <color theme="1"/>
        <rFont val="Calibri"/>
        <family val="2"/>
        <scheme val="minor"/>
      </rPr>
      <t xml:space="preserve"> a</t>
    </r>
    <r>
      <rPr>
        <b/>
        <vertAlign val="subscript"/>
        <sz val="11"/>
        <color theme="1"/>
        <rFont val="Calibri"/>
        <family val="2"/>
        <scheme val="minor"/>
      </rPr>
      <t>(k)</t>
    </r>
    <r>
      <rPr>
        <b/>
        <sz val="11"/>
        <color theme="1"/>
        <rFont val="Calibri"/>
        <family val="2"/>
        <scheme val="minor"/>
      </rPr>
      <t>]/s</t>
    </r>
    <r>
      <rPr>
        <b/>
        <vertAlign val="subscript"/>
        <sz val="11"/>
        <color theme="1"/>
        <rFont val="Calibri"/>
        <family val="2"/>
        <scheme val="minor"/>
      </rPr>
      <t>k</t>
    </r>
  </si>
  <si>
    <r>
      <t xml:space="preserve">DFFITS </t>
    </r>
    <r>
      <rPr>
        <b/>
        <sz val="11"/>
        <color theme="1"/>
        <rFont val="Calibri"/>
        <family val="2"/>
      </rPr>
      <t>Δŷ</t>
    </r>
  </si>
  <si>
    <r>
      <t xml:space="preserve">Cook's D, </t>
    </r>
    <r>
      <rPr>
        <b/>
        <sz val="11"/>
        <color theme="1"/>
        <rFont val="Calibri"/>
        <family val="2"/>
      </rPr>
      <t>Δy</t>
    </r>
    <r>
      <rPr>
        <b/>
        <sz val="11"/>
        <color theme="1"/>
        <rFont val="Times New Roman"/>
        <family val="1"/>
      </rPr>
      <t>̄</t>
    </r>
  </si>
  <si>
    <r>
      <t>h</t>
    </r>
    <r>
      <rPr>
        <b/>
        <i/>
        <vertAlign val="subscript"/>
        <sz val="11"/>
        <color theme="1"/>
        <rFont val="Times New Roman"/>
        <family val="1"/>
      </rPr>
      <t>kk</t>
    </r>
  </si>
  <si>
    <t>ε = 
y - ŷ</t>
  </si>
  <si>
    <r>
      <t>y</t>
    </r>
    <r>
      <rPr>
        <b/>
        <sz val="11"/>
        <color theme="1"/>
        <rFont val="Calibri"/>
        <family val="2"/>
      </rPr>
      <t>̂</t>
    </r>
  </si>
  <si>
    <t>D</t>
  </si>
  <si>
    <t>G</t>
  </si>
  <si>
    <t>H</t>
  </si>
  <si>
    <t>I</t>
  </si>
  <si>
    <t>J</t>
  </si>
  <si>
    <t>N</t>
  </si>
  <si>
    <t>O</t>
  </si>
  <si>
    <r>
      <rPr>
        <b/>
        <sz val="11"/>
        <color theme="1"/>
        <rFont val="Calibri"/>
        <family val="2"/>
      </rPr>
      <t>Δ</t>
    </r>
    <r>
      <rPr>
        <b/>
        <vertAlign val="subscript"/>
        <sz val="11"/>
        <color theme="1"/>
        <rFont val="Calibri"/>
        <family val="2"/>
      </rPr>
      <t>(0)</t>
    </r>
    <r>
      <rPr>
        <b/>
        <sz val="11"/>
        <color theme="1"/>
        <rFont val="Calibri"/>
        <family val="2"/>
        <scheme val="minor"/>
      </rPr>
      <t>a</t>
    </r>
  </si>
  <si>
    <r>
      <rPr>
        <b/>
        <sz val="11"/>
        <color theme="1"/>
        <rFont val="Calibri"/>
        <family val="2"/>
      </rPr>
      <t>Δ</t>
    </r>
    <r>
      <rPr>
        <b/>
        <vertAlign val="subscript"/>
        <sz val="11"/>
        <color theme="1"/>
        <rFont val="Calibri"/>
        <family val="2"/>
      </rPr>
      <t>(1)</t>
    </r>
    <r>
      <rPr>
        <b/>
        <sz val="11"/>
        <color theme="1"/>
        <rFont val="Calibri"/>
        <family val="2"/>
        <scheme val="minor"/>
      </rPr>
      <t>a</t>
    </r>
  </si>
  <si>
    <r>
      <rPr>
        <b/>
        <sz val="11"/>
        <color theme="1"/>
        <rFont val="Calibri"/>
        <family val="2"/>
      </rPr>
      <t>Δ</t>
    </r>
    <r>
      <rPr>
        <b/>
        <vertAlign val="subscript"/>
        <sz val="11"/>
        <color theme="1"/>
        <rFont val="Calibri"/>
        <family val="2"/>
      </rPr>
      <t>(2)</t>
    </r>
    <r>
      <rPr>
        <b/>
        <sz val="11"/>
        <color theme="1"/>
        <rFont val="Calibri"/>
        <family val="2"/>
        <scheme val="minor"/>
      </rPr>
      <t>a</t>
    </r>
  </si>
  <si>
    <t>Data Pt</t>
  </si>
  <si>
    <t>X*</t>
  </si>
  <si>
    <t>W</t>
  </si>
  <si>
    <t>Two-Dimensional Projections</t>
  </si>
  <si>
    <t>Great Circle</t>
  </si>
  <si>
    <t>Data Circle</t>
  </si>
  <si>
    <t>MP</t>
  </si>
  <si>
    <t>FO</t>
  </si>
  <si>
    <t>WO</t>
  </si>
  <si>
    <r>
      <t>w</t>
    </r>
    <r>
      <rPr>
        <b/>
        <vertAlign val="subscript"/>
        <sz val="11"/>
        <color theme="1"/>
        <rFont val="Calibri"/>
        <family val="2"/>
        <scheme val="minor"/>
      </rPr>
      <t>0</t>
    </r>
  </si>
  <si>
    <r>
      <t>w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</si>
  <si>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w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</si>
  <si>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w</t>
    </r>
    <r>
      <rPr>
        <b/>
        <vertAlign val="subscript"/>
        <sz val="11"/>
        <color theme="1"/>
        <rFont val="Calibri"/>
        <family val="2"/>
        <scheme val="minor"/>
      </rPr>
      <t>3</t>
    </r>
  </si>
  <si>
    <t>h</t>
  </si>
  <si>
    <t>δ</t>
  </si>
  <si>
    <r>
      <rPr>
        <b/>
        <sz val="11"/>
        <color theme="1"/>
        <rFont val="Calibri"/>
        <family val="2"/>
      </rPr>
      <t>δ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</si>
  <si>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rPr>
        <b/>
        <sz val="11"/>
        <color theme="1"/>
        <rFont val="Calibri"/>
        <family val="2"/>
      </rPr>
      <t>δ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</si>
  <si>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rPr>
        <b/>
        <sz val="11"/>
        <color theme="1"/>
        <rFont val="Calibri"/>
        <family val="2"/>
      </rPr>
      <t>δ</t>
    </r>
    <r>
      <rPr>
        <b/>
        <vertAlign val="subscript"/>
        <sz val="11"/>
        <color theme="1"/>
        <rFont val="Calibri"/>
        <family val="2"/>
        <scheme val="minor"/>
      </rPr>
      <t>3</t>
    </r>
  </si>
  <si>
    <t>θ</t>
  </si>
  <si>
    <r>
      <t>W</t>
    </r>
    <r>
      <rPr>
        <b/>
        <vertAlign val="super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>W</t>
    </r>
  </si>
  <si>
    <t>m =</t>
  </si>
  <si>
    <t>Pt of Interest</t>
  </si>
  <si>
    <r>
      <t>Factor Space Profile, δ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x δ</t>
    </r>
    <r>
      <rPr>
        <b/>
        <vertAlign val="sub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</t>
    </r>
  </si>
  <si>
    <r>
      <t>Factor Space Profile, δ</t>
    </r>
    <r>
      <rPr>
        <b/>
        <vertAlign val="sub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 xml:space="preserve"> x δ</t>
    </r>
    <r>
      <rPr>
        <b/>
        <vertAlign val="sub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</t>
    </r>
  </si>
  <si>
    <r>
      <t>Factor Space Profile, δ</t>
    </r>
    <r>
      <rPr>
        <b/>
        <vertAlign val="sub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 xml:space="preserve"> x δ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</si>
</sst>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0.0%"/>
    <numFmt numFmtId="166" formatCode="0.000"/>
    <numFmt numFmtId="167" formatCode="0.0000"/>
    <numFmt numFmtId="168" formatCode="#,##0.0"/>
    <numFmt numFmtId="169" formatCode="#\ ???/???"/>
  </numFmts>
  <fonts count="72" x14ac:knownFonts="1">
    <font>
      <sz val="12"/>
      <color theme="1"/>
      <name val="Calibri"/>
      <family val="2"/>
      <scheme val="minor"/>
    </font>
    <font>
      <sz val="11"/>
      <color theme="1"/>
      <name val="Garamond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b/>
      <vertAlign val="subscript"/>
      <sz val="12"/>
      <color theme="1"/>
      <name val="Times New Roman"/>
      <family val="1"/>
    </font>
    <font>
      <b/>
      <vertAlign val="superscript"/>
      <sz val="12"/>
      <color rgb="FF000000"/>
      <name val="Times New Roman"/>
      <family val="1"/>
    </font>
    <font>
      <b/>
      <i/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vertAlign val="superscript"/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i/>
      <vertAlign val="sub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Garamond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i/>
      <vertAlign val="subscript"/>
      <sz val="11"/>
      <color theme="1"/>
      <name val="Times New Roman"/>
      <family val="1"/>
    </font>
    <font>
      <b/>
      <vertAlign val="subscript"/>
      <sz val="11"/>
      <color theme="1"/>
      <name val="Times New Roman"/>
      <family val="1"/>
    </font>
    <font>
      <i/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b/>
      <sz val="11"/>
      <color rgb="FFFF0000"/>
      <name val="Calibri"/>
      <family val="2"/>
      <scheme val="minor"/>
    </font>
    <font>
      <b/>
      <vertAlign val="superscript"/>
      <sz val="11"/>
      <color theme="1"/>
      <name val="Times New Roman"/>
      <family val="1"/>
    </font>
    <font>
      <b/>
      <vertAlign val="subscript"/>
      <sz val="11"/>
      <color theme="1"/>
      <name val="Garamond"/>
      <family val="1"/>
    </font>
    <font>
      <b/>
      <vertAlign val="superscript"/>
      <sz val="11"/>
      <color theme="1"/>
      <name val="Garamond"/>
      <family val="1"/>
    </font>
    <font>
      <vertAlign val="subscript"/>
      <sz val="11"/>
      <color theme="1"/>
      <name val="Times New Roman"/>
      <family val="1"/>
    </font>
    <font>
      <i/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sz val="11"/>
      <name val="Times New Roman"/>
      <family val="1"/>
    </font>
    <font>
      <b/>
      <i/>
      <vertAlign val="subscript"/>
      <sz val="12"/>
      <color theme="1"/>
      <name val="Times New Roman"/>
      <family val="1"/>
    </font>
    <font>
      <sz val="10"/>
      <name val="Arial"/>
      <family val="2"/>
    </font>
    <font>
      <sz val="12"/>
      <name val="Times New Roman"/>
      <family val="1"/>
    </font>
    <font>
      <vertAlign val="subscript"/>
      <sz val="12"/>
      <color rgb="FF000000"/>
      <name val="Times New Roman"/>
      <family val="1"/>
    </font>
    <font>
      <b/>
      <sz val="12"/>
      <name val="Times New Roman"/>
      <family val="1"/>
    </font>
    <font>
      <b/>
      <vertAlign val="subscript"/>
      <sz val="12"/>
      <name val="Times New Roman"/>
      <family val="1"/>
    </font>
    <font>
      <b/>
      <sz val="10"/>
      <name val="Arial"/>
      <family val="2"/>
    </font>
    <font>
      <b/>
      <vertAlign val="superscript"/>
      <sz val="12"/>
      <name val="Times New Roman"/>
      <family val="1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i/>
      <sz val="11"/>
      <color rgb="FF000000"/>
      <name val="Times New Roman"/>
      <family val="1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b/>
      <i/>
      <vertAlign val="subscript"/>
      <sz val="12"/>
      <color theme="1"/>
      <name val="Garamond"/>
      <family val="1"/>
    </font>
    <font>
      <vertAlign val="subscript"/>
      <sz val="12"/>
      <color theme="1"/>
      <name val="Times New Roman"/>
      <family val="1"/>
    </font>
    <font>
      <b/>
      <sz val="12"/>
      <color theme="1"/>
      <name val="Times New Roman"/>
      <family val="2"/>
    </font>
    <font>
      <b/>
      <sz val="12"/>
      <color theme="1"/>
      <name val="Times New Roman"/>
      <family val="1"/>
      <charset val="2"/>
    </font>
    <font>
      <b/>
      <sz val="12"/>
      <color theme="1"/>
      <name val="PCSB Hebrew"/>
      <charset val="2"/>
    </font>
    <font>
      <b/>
      <vertAlign val="subscript"/>
      <sz val="11"/>
      <color rgb="FF000000"/>
      <name val="Times New Roman"/>
      <family val="1"/>
    </font>
    <font>
      <sz val="10"/>
      <color theme="1"/>
      <name val="Calibri"/>
      <family val="2"/>
      <scheme val="minor"/>
    </font>
    <font>
      <b/>
      <vertAlign val="superscript"/>
      <sz val="12"/>
      <color theme="1"/>
      <name val="Calibri (Body)"/>
    </font>
    <font>
      <i/>
      <sz val="12"/>
      <color rgb="FF000000"/>
      <name val="Times New Roman"/>
      <family val="1"/>
    </font>
    <font>
      <b/>
      <sz val="12"/>
      <color theme="1"/>
      <name val="Garamond"/>
      <family val="2"/>
    </font>
    <font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vertAlign val="subscript"/>
      <sz val="11"/>
      <name val="Calibri"/>
      <family val="2"/>
    </font>
    <font>
      <b/>
      <sz val="11"/>
      <color indexed="8"/>
      <name val="Calibri"/>
      <family val="2"/>
    </font>
    <font>
      <b/>
      <vertAlign val="superscript"/>
      <sz val="11"/>
      <color rgb="FF000000"/>
      <name val="Calibri"/>
      <family val="2"/>
    </font>
    <font>
      <b/>
      <vertAlign val="superscript"/>
      <sz val="1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1"/>
      <scheme val="minor"/>
    </font>
    <font>
      <b/>
      <vertAlign val="subscript"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double">
        <color indexed="64"/>
      </bottom>
      <diagonal/>
    </border>
    <border>
      <left/>
      <right style="thin">
        <color indexed="64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/>
      <top style="thin">
        <color auto="1"/>
      </top>
      <bottom style="double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1" fillId="0" borderId="0"/>
    <xf numFmtId="0" fontId="37" fillId="0" borderId="0"/>
    <xf numFmtId="0" fontId="1" fillId="0" borderId="0"/>
    <xf numFmtId="0" fontId="62" fillId="0" borderId="0" applyNumberFormat="0" applyFill="0" applyBorder="0" applyAlignment="0" applyProtection="0"/>
    <xf numFmtId="0" fontId="63" fillId="0" borderId="0"/>
  </cellStyleXfs>
  <cellXfs count="1723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3" fillId="2" borderId="1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shrinkToFit="1"/>
    </xf>
    <xf numFmtId="0" fontId="3" fillId="2" borderId="1" xfId="0" applyFont="1" applyFill="1" applyBorder="1" applyAlignment="1">
      <alignment horizontal="center" vertical="center"/>
    </xf>
    <xf numFmtId="0" fontId="2" fillId="2" borderId="2" xfId="0" applyFont="1" applyFill="1" applyBorder="1"/>
    <xf numFmtId="0" fontId="2" fillId="2" borderId="3" xfId="0" applyFont="1" applyFill="1" applyBorder="1"/>
    <xf numFmtId="0" fontId="5" fillId="2" borderId="2" xfId="0" applyFont="1" applyFill="1" applyBorder="1" applyAlignment="1">
      <alignment horizontal="center"/>
    </xf>
    <xf numFmtId="2" fontId="4" fillId="0" borderId="6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 wrapText="1"/>
    </xf>
    <xf numFmtId="2" fontId="9" fillId="0" borderId="11" xfId="0" applyNumberFormat="1" applyFont="1" applyBorder="1" applyAlignment="1">
      <alignment horizontal="center" vertical="center" wrapText="1"/>
    </xf>
    <xf numFmtId="165" fontId="9" fillId="0" borderId="12" xfId="0" applyNumberFormat="1" applyFont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 wrapText="1"/>
    </xf>
    <xf numFmtId="165" fontId="9" fillId="0" borderId="13" xfId="0" applyNumberFormat="1" applyFont="1" applyBorder="1" applyAlignment="1">
      <alignment horizontal="center" vertical="center" shrinkToFit="1"/>
    </xf>
    <xf numFmtId="164" fontId="9" fillId="0" borderId="13" xfId="0" applyNumberFormat="1" applyFont="1" applyBorder="1" applyAlignment="1">
      <alignment horizontal="center" vertical="center" shrinkToFit="1"/>
    </xf>
    <xf numFmtId="164" fontId="9" fillId="0" borderId="14" xfId="0" applyNumberFormat="1" applyFont="1" applyBorder="1" applyAlignment="1">
      <alignment horizontal="center" vertical="center" shrinkToFit="1"/>
    </xf>
    <xf numFmtId="164" fontId="9" fillId="0" borderId="8" xfId="0" applyNumberFormat="1" applyFont="1" applyBorder="1" applyAlignment="1">
      <alignment horizontal="center" vertical="center" shrinkToFit="1"/>
    </xf>
    <xf numFmtId="0" fontId="2" fillId="2" borderId="15" xfId="0" applyFont="1" applyFill="1" applyBorder="1" applyAlignment="1">
      <alignment horizontal="center"/>
    </xf>
    <xf numFmtId="166" fontId="2" fillId="0" borderId="4" xfId="0" applyNumberFormat="1" applyFont="1" applyBorder="1"/>
    <xf numFmtId="166" fontId="2" fillId="0" borderId="0" xfId="0" applyNumberFormat="1" applyFont="1"/>
    <xf numFmtId="166" fontId="2" fillId="0" borderId="14" xfId="0" applyNumberFormat="1" applyFont="1" applyBorder="1"/>
    <xf numFmtId="0" fontId="2" fillId="2" borderId="11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" fontId="2" fillId="2" borderId="15" xfId="0" applyNumberFormat="1" applyFont="1" applyFill="1" applyBorder="1"/>
    <xf numFmtId="1" fontId="2" fillId="2" borderId="7" xfId="0" applyNumberFormat="1" applyFont="1" applyFill="1" applyBorder="1"/>
    <xf numFmtId="165" fontId="2" fillId="0" borderId="0" xfId="0" applyNumberFormat="1" applyFont="1" applyAlignment="1">
      <alignment shrinkToFit="1"/>
    </xf>
    <xf numFmtId="164" fontId="2" fillId="2" borderId="10" xfId="0" applyNumberFormat="1" applyFont="1" applyFill="1" applyBorder="1"/>
    <xf numFmtId="165" fontId="2" fillId="0" borderId="12" xfId="0" applyNumberFormat="1" applyFont="1" applyBorder="1" applyAlignment="1">
      <alignment shrinkToFit="1"/>
    </xf>
    <xf numFmtId="165" fontId="2" fillId="0" borderId="11" xfId="0" applyNumberFormat="1" applyFont="1" applyBorder="1" applyAlignment="1">
      <alignment shrinkToFit="1"/>
    </xf>
    <xf numFmtId="165" fontId="2" fillId="0" borderId="13" xfId="0" applyNumberFormat="1" applyFont="1" applyBorder="1" applyAlignment="1">
      <alignment shrinkToFit="1"/>
    </xf>
    <xf numFmtId="0" fontId="9" fillId="2" borderId="4" xfId="0" applyFont="1" applyFill="1" applyBorder="1" applyAlignment="1">
      <alignment horizontal="center" vertical="center" wrapText="1"/>
    </xf>
    <xf numFmtId="2" fontId="9" fillId="0" borderId="15" xfId="0" applyNumberFormat="1" applyFont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 shrinkToFit="1"/>
    </xf>
    <xf numFmtId="0" fontId="9" fillId="0" borderId="15" xfId="0" applyFont="1" applyBorder="1" applyAlignment="1">
      <alignment horizontal="center" vertical="center" wrapText="1"/>
    </xf>
    <xf numFmtId="165" fontId="9" fillId="0" borderId="14" xfId="0" applyNumberFormat="1" applyFont="1" applyBorder="1" applyAlignment="1">
      <alignment horizontal="center" vertical="center" shrinkToFit="1"/>
    </xf>
    <xf numFmtId="9" fontId="2" fillId="0" borderId="4" xfId="0" applyNumberFormat="1" applyFont="1" applyBorder="1"/>
    <xf numFmtId="164" fontId="2" fillId="2" borderId="4" xfId="0" applyNumberFormat="1" applyFont="1" applyFill="1" applyBorder="1"/>
    <xf numFmtId="165" fontId="2" fillId="0" borderId="15" xfId="0" applyNumberFormat="1" applyFont="1" applyBorder="1" applyAlignment="1">
      <alignment shrinkToFit="1"/>
    </xf>
    <xf numFmtId="165" fontId="2" fillId="0" borderId="14" xfId="0" applyNumberFormat="1" applyFont="1" applyBorder="1" applyAlignment="1">
      <alignment shrinkToFit="1"/>
    </xf>
    <xf numFmtId="0" fontId="9" fillId="2" borderId="5" xfId="0" applyFont="1" applyFill="1" applyBorder="1" applyAlignment="1">
      <alignment horizontal="center" vertical="center" wrapText="1"/>
    </xf>
    <xf numFmtId="2" fontId="9" fillId="0" borderId="7" xfId="0" applyNumberFormat="1" applyFont="1" applyBorder="1" applyAlignment="1">
      <alignment horizontal="center" vertical="center" wrapText="1"/>
    </xf>
    <xf numFmtId="165" fontId="9" fillId="0" borderId="6" xfId="0" applyNumberFormat="1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wrapText="1"/>
    </xf>
    <xf numFmtId="165" fontId="9" fillId="0" borderId="8" xfId="0" applyNumberFormat="1" applyFont="1" applyBorder="1" applyAlignment="1">
      <alignment horizontal="center" vertical="center" shrinkToFit="1"/>
    </xf>
    <xf numFmtId="0" fontId="2" fillId="2" borderId="7" xfId="0" applyFont="1" applyFill="1" applyBorder="1" applyAlignment="1">
      <alignment horizontal="center"/>
    </xf>
    <xf numFmtId="166" fontId="2" fillId="0" borderId="5" xfId="0" applyNumberFormat="1" applyFont="1" applyBorder="1"/>
    <xf numFmtId="166" fontId="2" fillId="0" borderId="6" xfId="0" applyNumberFormat="1" applyFont="1" applyBorder="1"/>
    <xf numFmtId="166" fontId="2" fillId="0" borderId="8" xfId="0" applyNumberFormat="1" applyFont="1" applyBorder="1"/>
    <xf numFmtId="0" fontId="3" fillId="2" borderId="5" xfId="0" applyFont="1" applyFill="1" applyBorder="1" applyAlignment="1">
      <alignment horizontal="center"/>
    </xf>
    <xf numFmtId="0" fontId="2" fillId="2" borderId="9" xfId="0" applyFont="1" applyFill="1" applyBorder="1"/>
    <xf numFmtId="0" fontId="3" fillId="2" borderId="11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/>
    </xf>
    <xf numFmtId="0" fontId="8" fillId="2" borderId="13" xfId="0" applyFont="1" applyFill="1" applyBorder="1" applyAlignment="1">
      <alignment horizontal="center"/>
    </xf>
    <xf numFmtId="0" fontId="2" fillId="0" borderId="9" xfId="0" applyFont="1" applyBorder="1"/>
    <xf numFmtId="0" fontId="2" fillId="0" borderId="7" xfId="0" applyFont="1" applyBorder="1" applyAlignment="1">
      <alignment horizontal="center"/>
    </xf>
    <xf numFmtId="0" fontId="2" fillId="0" borderId="6" xfId="0" applyFont="1" applyBorder="1"/>
    <xf numFmtId="0" fontId="2" fillId="0" borderId="8" xfId="0" applyFont="1" applyBorder="1"/>
    <xf numFmtId="0" fontId="3" fillId="2" borderId="15" xfId="0" applyFont="1" applyFill="1" applyBorder="1" applyAlignment="1">
      <alignment horizontal="center"/>
    </xf>
    <xf numFmtId="3" fontId="2" fillId="0" borderId="11" xfId="0" applyNumberFormat="1" applyFont="1" applyBorder="1"/>
    <xf numFmtId="0" fontId="2" fillId="0" borderId="13" xfId="0" applyFont="1" applyBorder="1"/>
    <xf numFmtId="0" fontId="2" fillId="0" borderId="11" xfId="0" applyFont="1" applyBorder="1"/>
    <xf numFmtId="0" fontId="3" fillId="2" borderId="9" xfId="0" applyFont="1" applyFill="1" applyBorder="1" applyAlignment="1">
      <alignment horizontal="center" vertical="center" wrapText="1"/>
    </xf>
    <xf numFmtId="3" fontId="2" fillId="0" borderId="7" xfId="0" applyNumberFormat="1" applyFont="1" applyBorder="1"/>
    <xf numFmtId="3" fontId="2" fillId="2" borderId="10" xfId="0" applyNumberFormat="1" applyFont="1" applyFill="1" applyBorder="1" applyAlignment="1">
      <alignment horizontal="center"/>
    </xf>
    <xf numFmtId="3" fontId="2" fillId="2" borderId="4" xfId="0" applyNumberFormat="1" applyFont="1" applyFill="1" applyBorder="1" applyAlignment="1">
      <alignment horizontal="center"/>
    </xf>
    <xf numFmtId="3" fontId="2" fillId="2" borderId="5" xfId="0" applyNumberFormat="1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/>
    <xf numFmtId="0" fontId="2" fillId="0" borderId="15" xfId="0" applyFont="1" applyBorder="1" applyAlignment="1">
      <alignment horizontal="center"/>
    </xf>
    <xf numFmtId="0" fontId="2" fillId="0" borderId="14" xfId="0" applyFont="1" applyBorder="1"/>
    <xf numFmtId="0" fontId="3" fillId="2" borderId="7" xfId="0" applyFont="1" applyFill="1" applyBorder="1" applyAlignment="1">
      <alignment horizontal="center"/>
    </xf>
    <xf numFmtId="0" fontId="2" fillId="0" borderId="5" xfId="0" applyFont="1" applyBorder="1"/>
    <xf numFmtId="0" fontId="2" fillId="0" borderId="3" xfId="0" applyFont="1" applyBorder="1"/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65" fontId="2" fillId="0" borderId="6" xfId="0" applyNumberFormat="1" applyFont="1" applyBorder="1" applyAlignment="1">
      <alignment shrinkToFit="1"/>
    </xf>
    <xf numFmtId="164" fontId="2" fillId="2" borderId="5" xfId="0" applyNumberFormat="1" applyFont="1" applyFill="1" applyBorder="1"/>
    <xf numFmtId="165" fontId="2" fillId="0" borderId="7" xfId="0" applyNumberFormat="1" applyFont="1" applyBorder="1" applyAlignment="1">
      <alignment shrinkToFit="1"/>
    </xf>
    <xf numFmtId="165" fontId="2" fillId="0" borderId="8" xfId="0" applyNumberFormat="1" applyFont="1" applyBorder="1" applyAlignment="1">
      <alignment shrinkToFit="1"/>
    </xf>
    <xf numFmtId="164" fontId="2" fillId="0" borderId="0" xfId="0" applyNumberFormat="1" applyFont="1"/>
    <xf numFmtId="3" fontId="2" fillId="0" borderId="10" xfId="0" applyNumberFormat="1" applyFont="1" applyBorder="1"/>
    <xf numFmtId="3" fontId="2" fillId="0" borderId="4" xfId="0" applyNumberFormat="1" applyFont="1" applyBorder="1"/>
    <xf numFmtId="3" fontId="2" fillId="0" borderId="5" xfId="0" applyNumberFormat="1" applyFont="1" applyBorder="1"/>
    <xf numFmtId="0" fontId="2" fillId="0" borderId="7" xfId="0" applyFont="1" applyBorder="1"/>
    <xf numFmtId="164" fontId="3" fillId="2" borderId="5" xfId="0" applyNumberFormat="1" applyFont="1" applyFill="1" applyBorder="1" applyAlignment="1">
      <alignment horizontal="center"/>
    </xf>
    <xf numFmtId="164" fontId="2" fillId="0" borderId="8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164" fontId="3" fillId="2" borderId="10" xfId="0" applyNumberFormat="1" applyFont="1" applyFill="1" applyBorder="1" applyAlignment="1">
      <alignment horizontal="center"/>
    </xf>
    <xf numFmtId="164" fontId="2" fillId="0" borderId="13" xfId="0" applyNumberFormat="1" applyFont="1" applyBorder="1" applyAlignment="1">
      <alignment horizontal="center"/>
    </xf>
    <xf numFmtId="164" fontId="2" fillId="0" borderId="11" xfId="0" applyNumberFormat="1" applyFont="1" applyBorder="1" applyAlignment="1">
      <alignment horizontal="center"/>
    </xf>
    <xf numFmtId="164" fontId="9" fillId="0" borderId="8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164" fontId="9" fillId="0" borderId="14" xfId="0" applyNumberFormat="1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164" fontId="2" fillId="0" borderId="7" xfId="0" applyNumberFormat="1" applyFont="1" applyBorder="1"/>
    <xf numFmtId="0" fontId="2" fillId="0" borderId="10" xfId="0" applyFont="1" applyBorder="1"/>
    <xf numFmtId="164" fontId="2" fillId="0" borderId="11" xfId="0" applyNumberFormat="1" applyFont="1" applyBorder="1"/>
    <xf numFmtId="164" fontId="2" fillId="0" borderId="10" xfId="0" applyNumberFormat="1" applyFont="1" applyBorder="1"/>
    <xf numFmtId="0" fontId="8" fillId="2" borderId="3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166" fontId="2" fillId="0" borderId="13" xfId="0" applyNumberFormat="1" applyFont="1" applyBorder="1"/>
    <xf numFmtId="164" fontId="9" fillId="0" borderId="13" xfId="0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164" fontId="2" fillId="0" borderId="1" xfId="0" applyNumberFormat="1" applyFont="1" applyBorder="1"/>
    <xf numFmtId="0" fontId="3" fillId="0" borderId="11" xfId="0" applyFont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0" fontId="5" fillId="2" borderId="10" xfId="0" applyFont="1" applyFill="1" applyBorder="1"/>
    <xf numFmtId="166" fontId="2" fillId="0" borderId="3" xfId="0" applyNumberFormat="1" applyFont="1" applyBorder="1"/>
    <xf numFmtId="0" fontId="2" fillId="0" borderId="1" xfId="0" applyFont="1" applyBorder="1" applyAlignment="1">
      <alignment horizontal="center"/>
    </xf>
    <xf numFmtId="164" fontId="9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1" fillId="0" borderId="0" xfId="1" applyAlignment="1">
      <alignment horizontal="center"/>
    </xf>
    <xf numFmtId="0" fontId="11" fillId="0" borderId="0" xfId="1"/>
    <xf numFmtId="164" fontId="11" fillId="0" borderId="0" xfId="1" applyNumberFormat="1" applyAlignment="1">
      <alignment horizontal="center"/>
    </xf>
    <xf numFmtId="0" fontId="11" fillId="0" borderId="0" xfId="1" applyAlignment="1">
      <alignment horizontal="left"/>
    </xf>
    <xf numFmtId="164" fontId="11" fillId="0" borderId="0" xfId="1" applyNumberFormat="1"/>
    <xf numFmtId="167" fontId="11" fillId="0" borderId="0" xfId="1" applyNumberFormat="1" applyAlignment="1">
      <alignment horizontal="center"/>
    </xf>
    <xf numFmtId="0" fontId="11" fillId="0" borderId="8" xfId="1" applyBorder="1" applyAlignment="1">
      <alignment horizontal="center"/>
    </xf>
    <xf numFmtId="0" fontId="11" fillId="0" borderId="6" xfId="1" applyBorder="1" applyAlignment="1">
      <alignment horizontal="center"/>
    </xf>
    <xf numFmtId="0" fontId="11" fillId="0" borderId="5" xfId="1" applyBorder="1" applyAlignment="1">
      <alignment horizontal="center"/>
    </xf>
    <xf numFmtId="164" fontId="11" fillId="0" borderId="5" xfId="1" applyNumberFormat="1" applyBorder="1" applyAlignment="1">
      <alignment horizontal="center"/>
    </xf>
    <xf numFmtId="0" fontId="12" fillId="0" borderId="5" xfId="1" applyFont="1" applyBorder="1" applyAlignment="1">
      <alignment horizontal="center"/>
    </xf>
    <xf numFmtId="0" fontId="11" fillId="0" borderId="8" xfId="1" applyBorder="1"/>
    <xf numFmtId="0" fontId="11" fillId="0" borderId="6" xfId="1" applyBorder="1"/>
    <xf numFmtId="166" fontId="11" fillId="0" borderId="5" xfId="1" applyNumberFormat="1" applyBorder="1" applyAlignment="1">
      <alignment horizontal="center"/>
    </xf>
    <xf numFmtId="167" fontId="11" fillId="0" borderId="8" xfId="1" applyNumberFormat="1" applyBorder="1" applyAlignment="1">
      <alignment horizontal="center"/>
    </xf>
    <xf numFmtId="0" fontId="12" fillId="0" borderId="7" xfId="1" applyFont="1" applyBorder="1" applyAlignment="1">
      <alignment horizontal="center"/>
    </xf>
    <xf numFmtId="0" fontId="11" fillId="2" borderId="5" xfId="1" applyFill="1" applyBorder="1"/>
    <xf numFmtId="0" fontId="11" fillId="0" borderId="7" xfId="1" applyBorder="1" applyAlignment="1">
      <alignment horizontal="center"/>
    </xf>
    <xf numFmtId="166" fontId="11" fillId="0" borderId="8" xfId="1" applyNumberFormat="1" applyBorder="1" applyAlignment="1">
      <alignment horizontal="center"/>
    </xf>
    <xf numFmtId="0" fontId="12" fillId="2" borderId="7" xfId="1" applyFont="1" applyFill="1" applyBorder="1" applyAlignment="1">
      <alignment horizontal="center"/>
    </xf>
    <xf numFmtId="0" fontId="11" fillId="0" borderId="14" xfId="1" applyBorder="1" applyAlignment="1">
      <alignment horizontal="center"/>
    </xf>
    <xf numFmtId="0" fontId="11" fillId="0" borderId="4" xfId="1" applyBorder="1" applyAlignment="1">
      <alignment horizontal="center"/>
    </xf>
    <xf numFmtId="164" fontId="11" fillId="0" borderId="4" xfId="1" applyNumberFormat="1" applyBorder="1" applyAlignment="1">
      <alignment horizontal="center"/>
    </xf>
    <xf numFmtId="0" fontId="11" fillId="0" borderId="14" xfId="1" applyBorder="1"/>
    <xf numFmtId="166" fontId="11" fillId="0" borderId="10" xfId="1" applyNumberFormat="1" applyBorder="1" applyAlignment="1">
      <alignment horizontal="center"/>
    </xf>
    <xf numFmtId="167" fontId="11" fillId="0" borderId="14" xfId="1" applyNumberFormat="1" applyBorder="1"/>
    <xf numFmtId="0" fontId="12" fillId="0" borderId="15" xfId="1" applyFont="1" applyBorder="1" applyAlignment="1">
      <alignment horizontal="center"/>
    </xf>
    <xf numFmtId="0" fontId="11" fillId="2" borderId="5" xfId="1" applyFill="1" applyBorder="1" applyAlignment="1">
      <alignment horizontal="center"/>
    </xf>
    <xf numFmtId="0" fontId="12" fillId="2" borderId="8" xfId="1" applyFont="1" applyFill="1" applyBorder="1" applyAlignment="1">
      <alignment horizontal="center"/>
    </xf>
    <xf numFmtId="0" fontId="11" fillId="0" borderId="15" xfId="1" applyBorder="1" applyAlignment="1">
      <alignment horizontal="center"/>
    </xf>
    <xf numFmtId="166" fontId="11" fillId="0" borderId="14" xfId="1" applyNumberFormat="1" applyBorder="1" applyAlignment="1">
      <alignment horizontal="center"/>
    </xf>
    <xf numFmtId="0" fontId="12" fillId="2" borderId="15" xfId="1" applyFont="1" applyFill="1" applyBorder="1" applyAlignment="1">
      <alignment horizontal="center"/>
    </xf>
    <xf numFmtId="167" fontId="11" fillId="0" borderId="16" xfId="1" applyNumberFormat="1" applyBorder="1" applyAlignment="1">
      <alignment horizontal="center"/>
    </xf>
    <xf numFmtId="0" fontId="12" fillId="0" borderId="17" xfId="1" applyFont="1" applyBorder="1" applyAlignment="1">
      <alignment horizontal="center"/>
    </xf>
    <xf numFmtId="0" fontId="11" fillId="0" borderId="12" xfId="1" applyBorder="1" applyAlignment="1">
      <alignment horizontal="center"/>
    </xf>
    <xf numFmtId="0" fontId="11" fillId="2" borderId="4" xfId="1" applyFill="1" applyBorder="1" applyAlignment="1">
      <alignment horizontal="center"/>
    </xf>
    <xf numFmtId="0" fontId="11" fillId="0" borderId="13" xfId="1" applyBorder="1" applyAlignment="1">
      <alignment horizontal="center"/>
    </xf>
    <xf numFmtId="0" fontId="11" fillId="0" borderId="10" xfId="1" applyBorder="1" applyAlignment="1">
      <alignment horizontal="center"/>
    </xf>
    <xf numFmtId="164" fontId="11" fillId="0" borderId="10" xfId="1" applyNumberFormat="1" applyBorder="1" applyAlignment="1">
      <alignment horizontal="center"/>
    </xf>
    <xf numFmtId="0" fontId="12" fillId="0" borderId="10" xfId="1" applyFont="1" applyBorder="1" applyAlignment="1">
      <alignment horizontal="center"/>
    </xf>
    <xf numFmtId="166" fontId="11" fillId="0" borderId="18" xfId="1" applyNumberFormat="1" applyBorder="1" applyAlignment="1">
      <alignment horizontal="center"/>
    </xf>
    <xf numFmtId="167" fontId="11" fillId="0" borderId="19" xfId="1" applyNumberFormat="1" applyBorder="1" applyAlignment="1">
      <alignment horizontal="center"/>
    </xf>
    <xf numFmtId="0" fontId="11" fillId="0" borderId="20" xfId="1" applyBorder="1" applyAlignment="1">
      <alignment horizontal="center"/>
    </xf>
    <xf numFmtId="0" fontId="11" fillId="0" borderId="21" xfId="1" applyBorder="1" applyAlignment="1">
      <alignment horizontal="center"/>
    </xf>
    <xf numFmtId="0" fontId="11" fillId="0" borderId="18" xfId="1" applyBorder="1" applyAlignment="1">
      <alignment horizontal="center"/>
    </xf>
    <xf numFmtId="0" fontId="11" fillId="0" borderId="18" xfId="1" applyBorder="1" applyAlignment="1">
      <alignment horizontal="right"/>
    </xf>
    <xf numFmtId="0" fontId="11" fillId="0" borderId="11" xfId="1" applyBorder="1" applyAlignment="1">
      <alignment horizontal="center"/>
    </xf>
    <xf numFmtId="166" fontId="11" fillId="0" borderId="13" xfId="1" applyNumberFormat="1" applyBorder="1" applyAlignment="1">
      <alignment horizontal="center"/>
    </xf>
    <xf numFmtId="0" fontId="12" fillId="2" borderId="11" xfId="1" applyFont="1" applyFill="1" applyBorder="1" applyAlignment="1">
      <alignment horizontal="center"/>
    </xf>
    <xf numFmtId="0" fontId="11" fillId="0" borderId="7" xfId="1" applyBorder="1" applyAlignment="1">
      <alignment horizontal="left"/>
    </xf>
    <xf numFmtId="0" fontId="11" fillId="0" borderId="5" xfId="1" applyBorder="1" applyAlignment="1">
      <alignment horizontal="right"/>
    </xf>
    <xf numFmtId="0" fontId="12" fillId="0" borderId="20" xfId="1" applyFont="1" applyBorder="1" applyAlignment="1">
      <alignment horizontal="center"/>
    </xf>
    <xf numFmtId="166" fontId="11" fillId="0" borderId="9" xfId="1" applyNumberFormat="1" applyBorder="1" applyAlignment="1">
      <alignment horizontal="center"/>
    </xf>
    <xf numFmtId="167" fontId="11" fillId="0" borderId="3" xfId="1" applyNumberFormat="1" applyBorder="1" applyAlignment="1">
      <alignment horizontal="center"/>
    </xf>
    <xf numFmtId="0" fontId="11" fillId="0" borderId="1" xfId="1" applyBorder="1" applyAlignment="1">
      <alignment horizontal="center"/>
    </xf>
    <xf numFmtId="0" fontId="11" fillId="0" borderId="2" xfId="1" applyBorder="1" applyAlignment="1">
      <alignment horizontal="center"/>
    </xf>
    <xf numFmtId="0" fontId="11" fillId="0" borderId="9" xfId="1" applyBorder="1" applyAlignment="1">
      <alignment horizontal="center"/>
    </xf>
    <xf numFmtId="0" fontId="19" fillId="0" borderId="9" xfId="1" applyFont="1" applyBorder="1" applyAlignment="1">
      <alignment horizontal="right"/>
    </xf>
    <xf numFmtId="0" fontId="12" fillId="2" borderId="3" xfId="1" applyFont="1" applyFill="1" applyBorder="1" applyAlignment="1">
      <alignment horizontal="center"/>
    </xf>
    <xf numFmtId="0" fontId="12" fillId="2" borderId="1" xfId="1" applyFont="1" applyFill="1" applyBorder="1" applyAlignment="1">
      <alignment horizontal="center"/>
    </xf>
    <xf numFmtId="166" fontId="11" fillId="0" borderId="4" xfId="1" applyNumberFormat="1" applyBorder="1" applyAlignment="1">
      <alignment horizontal="center"/>
    </xf>
    <xf numFmtId="167" fontId="11" fillId="0" borderId="14" xfId="1" applyNumberFormat="1" applyBorder="1" applyAlignment="1">
      <alignment horizontal="center"/>
    </xf>
    <xf numFmtId="0" fontId="19" fillId="0" borderId="4" xfId="1" applyFont="1" applyBorder="1" applyAlignment="1">
      <alignment horizontal="right"/>
    </xf>
    <xf numFmtId="167" fontId="11" fillId="0" borderId="13" xfId="1" applyNumberFormat="1" applyBorder="1" applyAlignment="1">
      <alignment horizontal="center"/>
    </xf>
    <xf numFmtId="0" fontId="19" fillId="0" borderId="10" xfId="1" applyFont="1" applyBorder="1" applyAlignment="1">
      <alignment horizontal="right"/>
    </xf>
    <xf numFmtId="0" fontId="12" fillId="2" borderId="13" xfId="1" applyFont="1" applyFill="1" applyBorder="1" applyAlignment="1">
      <alignment horizontal="center"/>
    </xf>
    <xf numFmtId="0" fontId="12" fillId="2" borderId="12" xfId="1" applyFont="1" applyFill="1" applyBorder="1" applyAlignment="1">
      <alignment horizontal="center"/>
    </xf>
    <xf numFmtId="167" fontId="12" fillId="2" borderId="3" xfId="1" applyNumberFormat="1" applyFont="1" applyFill="1" applyBorder="1" applyAlignment="1">
      <alignment horizontal="center" shrinkToFit="1"/>
    </xf>
    <xf numFmtId="167" fontId="13" fillId="2" borderId="3" xfId="1" applyNumberFormat="1" applyFont="1" applyFill="1" applyBorder="1" applyAlignment="1">
      <alignment horizontal="center"/>
    </xf>
    <xf numFmtId="0" fontId="13" fillId="2" borderId="1" xfId="1" applyFont="1" applyFill="1" applyBorder="1" applyAlignment="1">
      <alignment horizontal="center"/>
    </xf>
    <xf numFmtId="0" fontId="12" fillId="2" borderId="2" xfId="1" applyFont="1" applyFill="1" applyBorder="1" applyAlignment="1">
      <alignment horizontal="center"/>
    </xf>
    <xf numFmtId="0" fontId="12" fillId="2" borderId="9" xfId="1" applyFont="1" applyFill="1" applyBorder="1" applyAlignment="1">
      <alignment horizontal="center"/>
    </xf>
    <xf numFmtId="0" fontId="12" fillId="0" borderId="9" xfId="1" applyFont="1" applyBorder="1" applyAlignment="1">
      <alignment horizontal="center"/>
    </xf>
    <xf numFmtId="166" fontId="11" fillId="2" borderId="5" xfId="1" applyNumberFormat="1" applyFill="1" applyBorder="1"/>
    <xf numFmtId="0" fontId="11" fillId="0" borderId="7" xfId="1" applyBorder="1"/>
    <xf numFmtId="166" fontId="12" fillId="0" borderId="7" xfId="1" applyNumberFormat="1" applyFont="1" applyBorder="1" applyAlignment="1">
      <alignment horizontal="center"/>
    </xf>
    <xf numFmtId="166" fontId="11" fillId="2" borderId="10" xfId="1" applyNumberFormat="1" applyFill="1" applyBorder="1"/>
    <xf numFmtId="0" fontId="11" fillId="0" borderId="13" xfId="1" applyBorder="1"/>
    <xf numFmtId="0" fontId="11" fillId="0" borderId="11" xfId="1" applyBorder="1"/>
    <xf numFmtId="0" fontId="11" fillId="0" borderId="12" xfId="1" applyBorder="1"/>
    <xf numFmtId="166" fontId="11" fillId="2" borderId="4" xfId="1" applyNumberFormat="1" applyFill="1" applyBorder="1"/>
    <xf numFmtId="0" fontId="11" fillId="0" borderId="15" xfId="1" applyBorder="1"/>
    <xf numFmtId="0" fontId="12" fillId="0" borderId="11" xfId="1" applyFont="1" applyBorder="1" applyAlignment="1">
      <alignment horizontal="center"/>
    </xf>
    <xf numFmtId="166" fontId="11" fillId="0" borderId="3" xfId="1" applyNumberFormat="1" applyBorder="1" applyAlignment="1">
      <alignment horizontal="center"/>
    </xf>
    <xf numFmtId="0" fontId="12" fillId="0" borderId="1" xfId="1" applyFont="1" applyBorder="1" applyAlignment="1">
      <alignment horizontal="center"/>
    </xf>
    <xf numFmtId="166" fontId="11" fillId="2" borderId="9" xfId="1" applyNumberFormat="1" applyFill="1" applyBorder="1"/>
    <xf numFmtId="0" fontId="11" fillId="0" borderId="3" xfId="1" applyBorder="1"/>
    <xf numFmtId="0" fontId="11" fillId="0" borderId="1" xfId="1" applyBorder="1"/>
    <xf numFmtId="0" fontId="11" fillId="0" borderId="2" xfId="1" applyBorder="1"/>
    <xf numFmtId="0" fontId="11" fillId="0" borderId="3" xfId="1" applyBorder="1" applyAlignment="1">
      <alignment horizontal="center"/>
    </xf>
    <xf numFmtId="2" fontId="11" fillId="2" borderId="14" xfId="1" applyNumberFormat="1" applyFill="1" applyBorder="1"/>
    <xf numFmtId="2" fontId="11" fillId="2" borderId="8" xfId="1" applyNumberFormat="1" applyFill="1" applyBorder="1"/>
    <xf numFmtId="2" fontId="11" fillId="2" borderId="13" xfId="1" applyNumberFormat="1" applyFill="1" applyBorder="1"/>
    <xf numFmtId="2" fontId="11" fillId="2" borderId="3" xfId="1" applyNumberFormat="1" applyFill="1" applyBorder="1"/>
    <xf numFmtId="0" fontId="12" fillId="0" borderId="0" xfId="1" applyFont="1" applyAlignment="1">
      <alignment horizontal="center"/>
    </xf>
    <xf numFmtId="0" fontId="12" fillId="2" borderId="10" xfId="1" applyFont="1" applyFill="1" applyBorder="1" applyAlignment="1">
      <alignment horizontal="center"/>
    </xf>
    <xf numFmtId="164" fontId="12" fillId="2" borderId="5" xfId="1" applyNumberFormat="1" applyFont="1" applyFill="1" applyBorder="1" applyAlignment="1">
      <alignment horizontal="center"/>
    </xf>
    <xf numFmtId="164" fontId="12" fillId="2" borderId="10" xfId="1" applyNumberFormat="1" applyFont="1" applyFill="1" applyBorder="1" applyAlignment="1">
      <alignment horizontal="center"/>
    </xf>
    <xf numFmtId="0" fontId="21" fillId="0" borderId="0" xfId="1" applyFont="1"/>
    <xf numFmtId="164" fontId="21" fillId="0" borderId="0" xfId="1" applyNumberFormat="1" applyFont="1" applyAlignment="1">
      <alignment horizontal="center"/>
    </xf>
    <xf numFmtId="0" fontId="21" fillId="0" borderId="0" xfId="1" applyFont="1" applyAlignment="1">
      <alignment horizontal="center"/>
    </xf>
    <xf numFmtId="2" fontId="21" fillId="0" borderId="0" xfId="1" applyNumberFormat="1" applyFont="1" applyAlignment="1">
      <alignment horizontal="center"/>
    </xf>
    <xf numFmtId="0" fontId="21" fillId="0" borderId="0" xfId="1" applyFont="1" applyAlignment="1">
      <alignment vertical="center"/>
    </xf>
    <xf numFmtId="0" fontId="21" fillId="0" borderId="0" xfId="1" applyFont="1" applyAlignment="1">
      <alignment horizontal="center" vertical="center"/>
    </xf>
    <xf numFmtId="164" fontId="21" fillId="0" borderId="8" xfId="1" applyNumberFormat="1" applyFont="1" applyBorder="1" applyAlignment="1">
      <alignment horizontal="center"/>
    </xf>
    <xf numFmtId="164" fontId="21" fillId="0" borderId="6" xfId="1" applyNumberFormat="1" applyFont="1" applyBorder="1" applyAlignment="1">
      <alignment horizontal="center" vertical="center"/>
    </xf>
    <xf numFmtId="164" fontId="21" fillId="0" borderId="7" xfId="1" applyNumberFormat="1" applyFont="1" applyBorder="1" applyAlignment="1">
      <alignment horizontal="center"/>
    </xf>
    <xf numFmtId="2" fontId="21" fillId="0" borderId="6" xfId="1" applyNumberFormat="1" applyFont="1" applyBorder="1" applyAlignment="1">
      <alignment horizontal="center"/>
    </xf>
    <xf numFmtId="2" fontId="21" fillId="0" borderId="7" xfId="1" applyNumberFormat="1" applyFont="1" applyBorder="1" applyAlignment="1">
      <alignment horizontal="center"/>
    </xf>
    <xf numFmtId="0" fontId="21" fillId="0" borderId="5" xfId="1" applyFont="1" applyBorder="1" applyAlignment="1">
      <alignment horizontal="center"/>
    </xf>
    <xf numFmtId="0" fontId="21" fillId="2" borderId="5" xfId="1" applyFont="1" applyFill="1" applyBorder="1" applyAlignment="1">
      <alignment horizontal="center"/>
    </xf>
    <xf numFmtId="164" fontId="21" fillId="0" borderId="14" xfId="1" applyNumberFormat="1" applyFont="1" applyBorder="1" applyAlignment="1">
      <alignment horizontal="center"/>
    </xf>
    <xf numFmtId="164" fontId="21" fillId="0" borderId="0" xfId="1" applyNumberFormat="1" applyFont="1" applyAlignment="1">
      <alignment horizontal="center" vertical="center"/>
    </xf>
    <xf numFmtId="164" fontId="21" fillId="0" borderId="15" xfId="1" applyNumberFormat="1" applyFont="1" applyBorder="1" applyAlignment="1">
      <alignment horizontal="center"/>
    </xf>
    <xf numFmtId="2" fontId="21" fillId="0" borderId="15" xfId="1" applyNumberFormat="1" applyFont="1" applyBorder="1" applyAlignment="1">
      <alignment horizontal="center"/>
    </xf>
    <xf numFmtId="0" fontId="21" fillId="0" borderId="4" xfId="1" applyFont="1" applyBorder="1" applyAlignment="1">
      <alignment horizontal="center"/>
    </xf>
    <xf numFmtId="0" fontId="21" fillId="2" borderId="4" xfId="1" applyFont="1" applyFill="1" applyBorder="1" applyAlignment="1">
      <alignment horizontal="center"/>
    </xf>
    <xf numFmtId="164" fontId="21" fillId="0" borderId="8" xfId="1" applyNumberFormat="1" applyFont="1" applyBorder="1"/>
    <xf numFmtId="2" fontId="21" fillId="0" borderId="5" xfId="1" applyNumberFormat="1" applyFont="1" applyBorder="1"/>
    <xf numFmtId="164" fontId="21" fillId="0" borderId="13" xfId="1" applyNumberFormat="1" applyFont="1" applyBorder="1"/>
    <xf numFmtId="164" fontId="21" fillId="0" borderId="10" xfId="1" applyNumberFormat="1" applyFont="1" applyBorder="1"/>
    <xf numFmtId="0" fontId="22" fillId="0" borderId="3" xfId="1" applyFont="1" applyBorder="1" applyAlignment="1">
      <alignment horizontal="center"/>
    </xf>
    <xf numFmtId="0" fontId="22" fillId="0" borderId="9" xfId="1" applyFont="1" applyBorder="1" applyAlignment="1">
      <alignment horizontal="center"/>
    </xf>
    <xf numFmtId="0" fontId="21" fillId="0" borderId="3" xfId="1" applyFont="1" applyBorder="1" applyAlignment="1">
      <alignment wrapText="1"/>
    </xf>
    <xf numFmtId="164" fontId="21" fillId="0" borderId="9" xfId="1" applyNumberFormat="1" applyFont="1" applyBorder="1" applyAlignment="1">
      <alignment horizontal="center"/>
    </xf>
    <xf numFmtId="0" fontId="21" fillId="0" borderId="10" xfId="1" applyFont="1" applyBorder="1" applyAlignment="1">
      <alignment horizontal="center"/>
    </xf>
    <xf numFmtId="0" fontId="21" fillId="2" borderId="10" xfId="1" applyFont="1" applyFill="1" applyBorder="1" applyAlignment="1">
      <alignment horizontal="center"/>
    </xf>
    <xf numFmtId="0" fontId="21" fillId="0" borderId="4" xfId="1" applyFont="1" applyBorder="1" applyAlignment="1">
      <alignment vertical="center"/>
    </xf>
    <xf numFmtId="0" fontId="21" fillId="0" borderId="4" xfId="1" applyFont="1" applyBorder="1" applyAlignment="1">
      <alignment horizontal="center" vertical="center"/>
    </xf>
    <xf numFmtId="164" fontId="22" fillId="2" borderId="3" xfId="1" applyNumberFormat="1" applyFont="1" applyFill="1" applyBorder="1" applyAlignment="1">
      <alignment horizontal="center" wrapText="1"/>
    </xf>
    <xf numFmtId="164" fontId="22" fillId="2" borderId="2" xfId="1" applyNumberFormat="1" applyFont="1" applyFill="1" applyBorder="1" applyAlignment="1">
      <alignment horizontal="center" wrapText="1"/>
    </xf>
    <xf numFmtId="164" fontId="22" fillId="2" borderId="1" xfId="1" applyNumberFormat="1" applyFont="1" applyFill="1" applyBorder="1" applyAlignment="1">
      <alignment horizontal="center" wrapText="1"/>
    </xf>
    <xf numFmtId="2" fontId="22" fillId="2" borderId="2" xfId="1" applyNumberFormat="1" applyFont="1" applyFill="1" applyBorder="1" applyAlignment="1">
      <alignment horizontal="center" wrapText="1"/>
    </xf>
    <xf numFmtId="0" fontId="22" fillId="2" borderId="3" xfId="1" applyFont="1" applyFill="1" applyBorder="1" applyAlignment="1">
      <alignment horizontal="center" wrapText="1"/>
    </xf>
    <xf numFmtId="0" fontId="22" fillId="2" borderId="1" xfId="1" applyFont="1" applyFill="1" applyBorder="1" applyAlignment="1">
      <alignment horizontal="center" wrapText="1"/>
    </xf>
    <xf numFmtId="0" fontId="22" fillId="2" borderId="9" xfId="1" applyFont="1" applyFill="1" applyBorder="1" applyAlignment="1">
      <alignment horizontal="center" wrapText="1"/>
    </xf>
    <xf numFmtId="0" fontId="21" fillId="0" borderId="10" xfId="1" applyFont="1" applyBorder="1" applyAlignment="1">
      <alignment vertical="center"/>
    </xf>
    <xf numFmtId="0" fontId="21" fillId="0" borderId="10" xfId="1" applyFont="1" applyBorder="1" applyAlignment="1">
      <alignment horizontal="center" vertical="center"/>
    </xf>
    <xf numFmtId="166" fontId="21" fillId="0" borderId="5" xfId="1" applyNumberFormat="1" applyFont="1" applyBorder="1" applyAlignment="1">
      <alignment horizontal="right" vertical="center"/>
    </xf>
    <xf numFmtId="166" fontId="21" fillId="0" borderId="6" xfId="1" applyNumberFormat="1" applyFont="1" applyBorder="1" applyAlignment="1">
      <alignment horizontal="right" vertical="center"/>
    </xf>
    <xf numFmtId="0" fontId="21" fillId="2" borderId="5" xfId="1" applyFont="1" applyFill="1" applyBorder="1" applyAlignment="1">
      <alignment horizontal="center" vertical="center"/>
    </xf>
    <xf numFmtId="0" fontId="21" fillId="0" borderId="8" xfId="1" applyFont="1" applyBorder="1" applyAlignment="1">
      <alignment horizontal="center" vertical="center"/>
    </xf>
    <xf numFmtId="0" fontId="21" fillId="0" borderId="7" xfId="1" applyFont="1" applyBorder="1" applyAlignment="1">
      <alignment horizontal="center" vertical="center"/>
    </xf>
    <xf numFmtId="0" fontId="21" fillId="0" borderId="7" xfId="1" applyFont="1" applyBorder="1" applyAlignment="1">
      <alignment vertical="center"/>
    </xf>
    <xf numFmtId="0" fontId="21" fillId="0" borderId="5" xfId="1" applyFont="1" applyBorder="1" applyAlignment="1">
      <alignment vertical="center"/>
    </xf>
    <xf numFmtId="0" fontId="21" fillId="2" borderId="5" xfId="1" applyFont="1" applyFill="1" applyBorder="1" applyAlignment="1">
      <alignment vertical="center"/>
    </xf>
    <xf numFmtId="166" fontId="21" fillId="0" borderId="10" xfId="1" applyNumberFormat="1" applyFont="1" applyBorder="1" applyAlignment="1">
      <alignment horizontal="right" vertical="center"/>
    </xf>
    <xf numFmtId="166" fontId="21" fillId="0" borderId="12" xfId="1" applyNumberFormat="1" applyFont="1" applyBorder="1" applyAlignment="1">
      <alignment horizontal="right" vertical="center"/>
    </xf>
    <xf numFmtId="0" fontId="21" fillId="2" borderId="10" xfId="1" applyFont="1" applyFill="1" applyBorder="1" applyAlignment="1">
      <alignment horizontal="center" vertical="center"/>
    </xf>
    <xf numFmtId="0" fontId="21" fillId="0" borderId="13" xfId="1" applyFont="1" applyBorder="1" applyAlignment="1">
      <alignment horizontal="center" vertical="center"/>
    </xf>
    <xf numFmtId="1" fontId="21" fillId="0" borderId="13" xfId="1" applyNumberFormat="1" applyFont="1" applyBorder="1" applyAlignment="1">
      <alignment horizontal="center" vertical="center"/>
    </xf>
    <xf numFmtId="0" fontId="21" fillId="0" borderId="11" xfId="1" applyFont="1" applyBorder="1" applyAlignment="1">
      <alignment horizontal="center" vertical="center"/>
    </xf>
    <xf numFmtId="0" fontId="21" fillId="0" borderId="11" xfId="1" applyFont="1" applyBorder="1" applyAlignment="1">
      <alignment vertical="center"/>
    </xf>
    <xf numFmtId="0" fontId="21" fillId="2" borderId="10" xfId="1" applyFont="1" applyFill="1" applyBorder="1" applyAlignment="1">
      <alignment vertical="center"/>
    </xf>
    <xf numFmtId="2" fontId="21" fillId="0" borderId="0" xfId="1" applyNumberFormat="1" applyFont="1"/>
    <xf numFmtId="164" fontId="21" fillId="0" borderId="0" xfId="1" applyNumberFormat="1" applyFont="1"/>
    <xf numFmtId="166" fontId="21" fillId="0" borderId="0" xfId="1" applyNumberFormat="1" applyFont="1" applyAlignment="1">
      <alignment horizontal="right" vertical="center"/>
    </xf>
    <xf numFmtId="164" fontId="21" fillId="0" borderId="5" xfId="1" applyNumberFormat="1" applyFont="1" applyBorder="1"/>
    <xf numFmtId="166" fontId="11" fillId="0" borderId="14" xfId="1" applyNumberFormat="1" applyBorder="1"/>
    <xf numFmtId="0" fontId="21" fillId="0" borderId="15" xfId="1" applyFont="1" applyBorder="1" applyAlignment="1">
      <alignment horizontal="center" vertical="center"/>
    </xf>
    <xf numFmtId="164" fontId="21" fillId="0" borderId="5" xfId="1" applyNumberFormat="1" applyFont="1" applyBorder="1" applyAlignment="1">
      <alignment vertical="center"/>
    </xf>
    <xf numFmtId="166" fontId="21" fillId="0" borderId="4" xfId="1" applyNumberFormat="1" applyFont="1" applyBorder="1" applyAlignment="1">
      <alignment horizontal="right" vertical="center"/>
    </xf>
    <xf numFmtId="0" fontId="21" fillId="2" borderId="4" xfId="1" applyFont="1" applyFill="1" applyBorder="1" applyAlignment="1">
      <alignment horizontal="center" vertical="center"/>
    </xf>
    <xf numFmtId="164" fontId="21" fillId="0" borderId="4" xfId="1" applyNumberFormat="1" applyFont="1" applyBorder="1"/>
    <xf numFmtId="164" fontId="21" fillId="0" borderId="4" xfId="1" applyNumberFormat="1" applyFont="1" applyBorder="1" applyAlignment="1">
      <alignment vertical="center"/>
    </xf>
    <xf numFmtId="11" fontId="11" fillId="0" borderId="0" xfId="1" applyNumberFormat="1" applyAlignment="1">
      <alignment shrinkToFit="1"/>
    </xf>
    <xf numFmtId="164" fontId="21" fillId="0" borderId="10" xfId="1" applyNumberFormat="1" applyFont="1" applyBorder="1" applyAlignment="1">
      <alignment vertical="center"/>
    </xf>
    <xf numFmtId="0" fontId="21" fillId="0" borderId="3" xfId="1" applyFont="1" applyBorder="1" applyAlignment="1">
      <alignment horizontal="center" vertical="center"/>
    </xf>
    <xf numFmtId="167" fontId="21" fillId="0" borderId="2" xfId="1" applyNumberFormat="1" applyFont="1" applyBorder="1" applyAlignment="1">
      <alignment vertical="center" shrinkToFit="1"/>
    </xf>
    <xf numFmtId="0" fontId="21" fillId="0" borderId="2" xfId="1" applyFont="1" applyBorder="1" applyAlignment="1">
      <alignment vertical="center"/>
    </xf>
    <xf numFmtId="166" fontId="21" fillId="0" borderId="9" xfId="1" applyNumberFormat="1" applyFont="1" applyBorder="1" applyAlignment="1">
      <alignment vertical="center" shrinkToFit="1"/>
    </xf>
    <xf numFmtId="2" fontId="21" fillId="0" borderId="9" xfId="1" applyNumberFormat="1" applyFont="1" applyBorder="1" applyAlignment="1">
      <alignment horizontal="right" shrinkToFit="1"/>
    </xf>
    <xf numFmtId="2" fontId="21" fillId="0" borderId="9" xfId="1" applyNumberFormat="1" applyFont="1" applyBorder="1" applyAlignment="1">
      <alignment horizontal="right"/>
    </xf>
    <xf numFmtId="0" fontId="22" fillId="2" borderId="1" xfId="1" applyFont="1" applyFill="1" applyBorder="1" applyAlignment="1">
      <alignment horizontal="left" vertical="center"/>
    </xf>
    <xf numFmtId="0" fontId="21" fillId="0" borderId="14" xfId="1" applyFont="1" applyBorder="1" applyAlignment="1">
      <alignment horizontal="center" vertical="center"/>
    </xf>
    <xf numFmtId="167" fontId="21" fillId="0" borderId="0" xfId="1" applyNumberFormat="1" applyFont="1" applyAlignment="1">
      <alignment vertical="center" shrinkToFit="1"/>
    </xf>
    <xf numFmtId="2" fontId="21" fillId="0" borderId="4" xfId="1" applyNumberFormat="1" applyFont="1" applyBorder="1" applyAlignment="1">
      <alignment vertical="center" shrinkToFit="1"/>
    </xf>
    <xf numFmtId="2" fontId="21" fillId="0" borderId="4" xfId="1" applyNumberFormat="1" applyFont="1" applyBorder="1" applyAlignment="1">
      <alignment horizontal="right" shrinkToFit="1"/>
    </xf>
    <xf numFmtId="0" fontId="22" fillId="0" borderId="4" xfId="1" applyFont="1" applyBorder="1" applyAlignment="1">
      <alignment horizontal="center"/>
    </xf>
    <xf numFmtId="0" fontId="22" fillId="2" borderId="15" xfId="1" applyFont="1" applyFill="1" applyBorder="1" applyAlignment="1">
      <alignment horizontal="left" vertical="center"/>
    </xf>
    <xf numFmtId="166" fontId="21" fillId="0" borderId="4" xfId="1" applyNumberFormat="1" applyFont="1" applyBorder="1" applyAlignment="1">
      <alignment vertical="center" shrinkToFit="1"/>
    </xf>
    <xf numFmtId="2" fontId="21" fillId="0" borderId="10" xfId="1" applyNumberFormat="1" applyFont="1" applyBorder="1" applyAlignment="1">
      <alignment vertical="center" shrinkToFit="1"/>
    </xf>
    <xf numFmtId="2" fontId="21" fillId="0" borderId="10" xfId="1" applyNumberFormat="1" applyFont="1" applyBorder="1" applyAlignment="1">
      <alignment horizontal="right" shrinkToFit="1"/>
    </xf>
    <xf numFmtId="0" fontId="22" fillId="0" borderId="10" xfId="1" applyFont="1" applyBorder="1" applyAlignment="1">
      <alignment horizontal="center"/>
    </xf>
    <xf numFmtId="0" fontId="21" fillId="0" borderId="9" xfId="1" applyFont="1" applyBorder="1" applyAlignment="1">
      <alignment horizontal="center" vertical="center"/>
    </xf>
    <xf numFmtId="2" fontId="21" fillId="0" borderId="9" xfId="1" applyNumberFormat="1" applyFont="1" applyBorder="1" applyAlignment="1">
      <alignment vertical="center" shrinkToFit="1"/>
    </xf>
    <xf numFmtId="0" fontId="22" fillId="2" borderId="1" xfId="1" applyFont="1" applyFill="1" applyBorder="1" applyAlignment="1">
      <alignment horizontal="center" vertical="center"/>
    </xf>
    <xf numFmtId="0" fontId="22" fillId="2" borderId="9" xfId="1" applyFont="1" applyFill="1" applyBorder="1" applyAlignment="1">
      <alignment horizontal="center" vertical="center"/>
    </xf>
    <xf numFmtId="0" fontId="22" fillId="2" borderId="3" xfId="1" applyFont="1" applyFill="1" applyBorder="1" applyAlignment="1">
      <alignment horizontal="center" vertical="center"/>
    </xf>
    <xf numFmtId="0" fontId="23" fillId="2" borderId="2" xfId="1" applyFont="1" applyFill="1" applyBorder="1" applyAlignment="1">
      <alignment horizontal="center" vertical="center"/>
    </xf>
    <xf numFmtId="0" fontId="22" fillId="2" borderId="2" xfId="1" applyFont="1" applyFill="1" applyBorder="1" applyAlignment="1">
      <alignment horizontal="center" vertical="center"/>
    </xf>
    <xf numFmtId="0" fontId="22" fillId="2" borderId="9" xfId="1" applyFont="1" applyFill="1" applyBorder="1" applyAlignment="1">
      <alignment horizontal="center" vertical="center" wrapText="1"/>
    </xf>
    <xf numFmtId="0" fontId="21" fillId="0" borderId="9" xfId="1" applyFont="1" applyBorder="1"/>
    <xf numFmtId="0" fontId="21" fillId="2" borderId="9" xfId="1" applyFont="1" applyFill="1" applyBorder="1" applyAlignment="1">
      <alignment horizontal="center" vertical="center"/>
    </xf>
    <xf numFmtId="0" fontId="21" fillId="0" borderId="9" xfId="1" applyFont="1" applyBorder="1" applyAlignment="1">
      <alignment vertical="center"/>
    </xf>
    <xf numFmtId="0" fontId="23" fillId="2" borderId="9" xfId="1" applyFont="1" applyFill="1" applyBorder="1" applyAlignment="1">
      <alignment horizontal="center" vertical="center"/>
    </xf>
    <xf numFmtId="0" fontId="21" fillId="0" borderId="14" xfId="1" applyFont="1" applyBorder="1" applyAlignment="1">
      <alignment vertical="center"/>
    </xf>
    <xf numFmtId="0" fontId="21" fillId="0" borderId="12" xfId="1" applyFont="1" applyBorder="1" applyAlignment="1">
      <alignment vertical="center"/>
    </xf>
    <xf numFmtId="3" fontId="21" fillId="0" borderId="11" xfId="1" applyNumberFormat="1" applyFont="1" applyBorder="1" applyAlignment="1">
      <alignment vertical="center"/>
    </xf>
    <xf numFmtId="0" fontId="22" fillId="2" borderId="14" xfId="1" applyFont="1" applyFill="1" applyBorder="1" applyAlignment="1">
      <alignment horizontal="center" vertical="center"/>
    </xf>
    <xf numFmtId="167" fontId="21" fillId="0" borderId="0" xfId="1" applyNumberFormat="1" applyFont="1" applyAlignment="1">
      <alignment vertical="center"/>
    </xf>
    <xf numFmtId="0" fontId="21" fillId="0" borderId="13" xfId="1" applyFont="1" applyBorder="1" applyAlignment="1">
      <alignment vertical="center"/>
    </xf>
    <xf numFmtId="3" fontId="21" fillId="0" borderId="0" xfId="1" applyNumberFormat="1" applyFont="1" applyAlignment="1">
      <alignment vertical="center"/>
    </xf>
    <xf numFmtId="0" fontId="21" fillId="0" borderId="15" xfId="1" applyFont="1" applyBorder="1" applyAlignment="1">
      <alignment vertical="center"/>
    </xf>
    <xf numFmtId="168" fontId="21" fillId="0" borderId="0" xfId="1" applyNumberFormat="1" applyFont="1" applyAlignment="1">
      <alignment vertical="center" shrinkToFit="1"/>
    </xf>
    <xf numFmtId="0" fontId="22" fillId="2" borderId="13" xfId="1" applyFont="1" applyFill="1" applyBorder="1" applyAlignment="1">
      <alignment horizontal="center" vertical="center"/>
    </xf>
    <xf numFmtId="0" fontId="23" fillId="2" borderId="3" xfId="1" applyFont="1" applyFill="1" applyBorder="1" applyAlignment="1">
      <alignment horizontal="center" vertical="center"/>
    </xf>
    <xf numFmtId="0" fontId="23" fillId="2" borderId="1" xfId="1" applyFont="1" applyFill="1" applyBorder="1" applyAlignment="1">
      <alignment horizontal="center" vertical="center"/>
    </xf>
    <xf numFmtId="0" fontId="22" fillId="2" borderId="0" xfId="1" applyFont="1" applyFill="1" applyAlignment="1">
      <alignment horizontal="center" vertical="center"/>
    </xf>
    <xf numFmtId="2" fontId="21" fillId="0" borderId="14" xfId="1" applyNumberFormat="1" applyFont="1" applyBorder="1" applyAlignment="1">
      <alignment vertical="center" shrinkToFit="1"/>
    </xf>
    <xf numFmtId="2" fontId="21" fillId="0" borderId="6" xfId="1" applyNumberFormat="1" applyFont="1" applyBorder="1" applyAlignment="1">
      <alignment vertical="center" shrinkToFit="1"/>
    </xf>
    <xf numFmtId="2" fontId="21" fillId="0" borderId="8" xfId="1" applyNumberFormat="1" applyFont="1" applyBorder="1" applyAlignment="1">
      <alignment vertical="center" shrinkToFit="1"/>
    </xf>
    <xf numFmtId="2" fontId="21" fillId="0" borderId="0" xfId="1" applyNumberFormat="1" applyFont="1" applyAlignment="1">
      <alignment vertical="center" shrinkToFit="1"/>
    </xf>
    <xf numFmtId="2" fontId="21" fillId="0" borderId="3" xfId="1" applyNumberFormat="1" applyFont="1" applyBorder="1" applyAlignment="1">
      <alignment vertical="center" shrinkToFit="1"/>
    </xf>
    <xf numFmtId="2" fontId="21" fillId="0" borderId="2" xfId="1" applyNumberFormat="1" applyFont="1" applyBorder="1" applyAlignment="1">
      <alignment vertical="center" shrinkToFit="1"/>
    </xf>
    <xf numFmtId="166" fontId="11" fillId="0" borderId="13" xfId="1" applyNumberFormat="1" applyBorder="1"/>
    <xf numFmtId="0" fontId="21" fillId="0" borderId="0" xfId="1" applyFont="1" applyAlignment="1">
      <alignment wrapText="1"/>
    </xf>
    <xf numFmtId="0" fontId="22" fillId="2" borderId="3" xfId="1" applyFont="1" applyFill="1" applyBorder="1" applyAlignment="1">
      <alignment horizontal="center" vertical="center" wrapText="1"/>
    </xf>
    <xf numFmtId="0" fontId="22" fillId="2" borderId="2" xfId="1" applyFont="1" applyFill="1" applyBorder="1" applyAlignment="1">
      <alignment horizontal="center" vertical="center" wrapText="1"/>
    </xf>
    <xf numFmtId="164" fontId="22" fillId="2" borderId="2" xfId="1" applyNumberFormat="1" applyFont="1" applyFill="1" applyBorder="1" applyAlignment="1">
      <alignment horizontal="center" vertical="center" wrapText="1"/>
    </xf>
    <xf numFmtId="0" fontId="21" fillId="2" borderId="1" xfId="1" applyFont="1" applyFill="1" applyBorder="1" applyAlignment="1">
      <alignment wrapText="1"/>
    </xf>
    <xf numFmtId="166" fontId="21" fillId="0" borderId="0" xfId="1" applyNumberFormat="1" applyFont="1" applyAlignment="1">
      <alignment vertical="center"/>
    </xf>
    <xf numFmtId="164" fontId="21" fillId="0" borderId="0" xfId="1" applyNumberFormat="1" applyFont="1" applyAlignment="1">
      <alignment vertical="center"/>
    </xf>
    <xf numFmtId="2" fontId="21" fillId="0" borderId="8" xfId="1" applyNumberFormat="1" applyFont="1" applyBorder="1" applyAlignment="1">
      <alignment vertical="center"/>
    </xf>
    <xf numFmtId="2" fontId="21" fillId="0" borderId="6" xfId="1" applyNumberFormat="1" applyFont="1" applyBorder="1" applyAlignment="1">
      <alignment vertical="center"/>
    </xf>
    <xf numFmtId="2" fontId="21" fillId="0" borderId="7" xfId="1" applyNumberFormat="1" applyFont="1" applyBorder="1" applyAlignment="1">
      <alignment vertical="center"/>
    </xf>
    <xf numFmtId="0" fontId="22" fillId="0" borderId="5" xfId="1" applyFont="1" applyBorder="1" applyAlignment="1">
      <alignment horizontal="center" vertical="center"/>
    </xf>
    <xf numFmtId="2" fontId="21" fillId="0" borderId="14" xfId="1" applyNumberFormat="1" applyFont="1" applyBorder="1" applyAlignment="1">
      <alignment vertical="center"/>
    </xf>
    <xf numFmtId="2" fontId="21" fillId="0" borderId="0" xfId="1" applyNumberFormat="1" applyFont="1" applyAlignment="1">
      <alignment vertical="center"/>
    </xf>
    <xf numFmtId="2" fontId="21" fillId="0" borderId="15" xfId="1" applyNumberFormat="1" applyFont="1" applyBorder="1" applyAlignment="1">
      <alignment vertical="center"/>
    </xf>
    <xf numFmtId="0" fontId="22" fillId="0" borderId="4" xfId="1" applyFont="1" applyBorder="1" applyAlignment="1">
      <alignment horizontal="center" vertical="center"/>
    </xf>
    <xf numFmtId="2" fontId="21" fillId="0" borderId="13" xfId="1" applyNumberFormat="1" applyFont="1" applyBorder="1" applyAlignment="1">
      <alignment vertical="center"/>
    </xf>
    <xf numFmtId="2" fontId="21" fillId="0" borderId="12" xfId="1" applyNumberFormat="1" applyFont="1" applyBorder="1" applyAlignment="1">
      <alignment vertical="center"/>
    </xf>
    <xf numFmtId="2" fontId="21" fillId="0" borderId="11" xfId="1" applyNumberFormat="1" applyFont="1" applyBorder="1" applyAlignment="1">
      <alignment vertical="center"/>
    </xf>
    <xf numFmtId="0" fontId="22" fillId="0" borderId="3" xfId="1" applyFont="1" applyBorder="1" applyAlignment="1">
      <alignment horizontal="center" vertical="center"/>
    </xf>
    <xf numFmtId="0" fontId="22" fillId="0" borderId="2" xfId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166" fontId="21" fillId="0" borderId="8" xfId="1" applyNumberFormat="1" applyFont="1" applyBorder="1" applyAlignment="1">
      <alignment vertical="center" shrinkToFit="1"/>
    </xf>
    <xf numFmtId="166" fontId="21" fillId="0" borderId="6" xfId="1" applyNumberFormat="1" applyFont="1" applyBorder="1" applyAlignment="1">
      <alignment vertical="center" shrinkToFit="1"/>
    </xf>
    <xf numFmtId="166" fontId="21" fillId="0" borderId="7" xfId="1" applyNumberFormat="1" applyFont="1" applyBorder="1" applyAlignment="1">
      <alignment vertical="center" shrinkToFit="1"/>
    </xf>
    <xf numFmtId="166" fontId="21" fillId="0" borderId="14" xfId="1" applyNumberFormat="1" applyFont="1" applyBorder="1" applyAlignment="1">
      <alignment vertical="center" shrinkToFit="1"/>
    </xf>
    <xf numFmtId="166" fontId="21" fillId="0" borderId="0" xfId="1" applyNumberFormat="1" applyFont="1" applyAlignment="1">
      <alignment vertical="center" shrinkToFit="1"/>
    </xf>
    <xf numFmtId="166" fontId="21" fillId="0" borderId="15" xfId="1" applyNumberFormat="1" applyFont="1" applyBorder="1" applyAlignment="1">
      <alignment vertical="center" shrinkToFit="1"/>
    </xf>
    <xf numFmtId="166" fontId="21" fillId="0" borderId="13" xfId="1" applyNumberFormat="1" applyFont="1" applyBorder="1" applyAlignment="1">
      <alignment vertical="center" shrinkToFit="1"/>
    </xf>
    <xf numFmtId="166" fontId="21" fillId="0" borderId="12" xfId="1" applyNumberFormat="1" applyFont="1" applyBorder="1" applyAlignment="1">
      <alignment vertical="center" shrinkToFit="1"/>
    </xf>
    <xf numFmtId="166" fontId="21" fillId="0" borderId="11" xfId="1" applyNumberFormat="1" applyFont="1" applyBorder="1" applyAlignment="1">
      <alignment vertical="center" shrinkToFit="1"/>
    </xf>
    <xf numFmtId="166" fontId="21" fillId="0" borderId="3" xfId="1" applyNumberFormat="1" applyFont="1" applyBorder="1" applyAlignment="1">
      <alignment vertical="center"/>
    </xf>
    <xf numFmtId="166" fontId="21" fillId="0" borderId="2" xfId="1" applyNumberFormat="1" applyFont="1" applyBorder="1" applyAlignment="1">
      <alignment vertical="center"/>
    </xf>
    <xf numFmtId="166" fontId="21" fillId="0" borderId="1" xfId="1" applyNumberFormat="1" applyFont="1" applyBorder="1" applyAlignment="1">
      <alignment vertical="center"/>
    </xf>
    <xf numFmtId="0" fontId="22" fillId="0" borderId="9" xfId="1" applyFont="1" applyBorder="1" applyAlignment="1">
      <alignment horizontal="center" vertical="center"/>
    </xf>
    <xf numFmtId="0" fontId="21" fillId="0" borderId="8" xfId="1" applyFont="1" applyBorder="1" applyAlignment="1">
      <alignment vertical="center"/>
    </xf>
    <xf numFmtId="0" fontId="21" fillId="0" borderId="6" xfId="1" applyFont="1" applyBorder="1" applyAlignment="1">
      <alignment vertical="center"/>
    </xf>
    <xf numFmtId="166" fontId="21" fillId="0" borderId="8" xfId="1" applyNumberFormat="1" applyFont="1" applyBorder="1" applyAlignment="1">
      <alignment vertical="center"/>
    </xf>
    <xf numFmtId="166" fontId="21" fillId="0" borderId="6" xfId="1" applyNumberFormat="1" applyFont="1" applyBorder="1" applyAlignment="1">
      <alignment vertical="center"/>
    </xf>
    <xf numFmtId="166" fontId="21" fillId="0" borderId="7" xfId="1" applyNumberFormat="1" applyFont="1" applyBorder="1" applyAlignment="1">
      <alignment vertical="center"/>
    </xf>
    <xf numFmtId="166" fontId="22" fillId="0" borderId="5" xfId="1" applyNumberFormat="1" applyFont="1" applyBorder="1" applyAlignment="1">
      <alignment horizontal="center" vertical="center"/>
    </xf>
    <xf numFmtId="166" fontId="21" fillId="0" borderId="13" xfId="1" applyNumberFormat="1" applyFont="1" applyBorder="1" applyAlignment="1">
      <alignment vertical="center"/>
    </xf>
    <xf numFmtId="166" fontId="21" fillId="0" borderId="12" xfId="1" applyNumberFormat="1" applyFont="1" applyBorder="1" applyAlignment="1">
      <alignment vertical="center"/>
    </xf>
    <xf numFmtId="166" fontId="21" fillId="0" borderId="11" xfId="1" applyNumberFormat="1" applyFont="1" applyBorder="1" applyAlignment="1">
      <alignment vertical="center"/>
    </xf>
    <xf numFmtId="166" fontId="22" fillId="0" borderId="10" xfId="1" applyNumberFormat="1" applyFont="1" applyBorder="1" applyAlignment="1">
      <alignment horizontal="center" vertical="center"/>
    </xf>
    <xf numFmtId="0" fontId="22" fillId="0" borderId="8" xfId="1" applyFont="1" applyBorder="1" applyAlignment="1">
      <alignment horizontal="center" vertical="center"/>
    </xf>
    <xf numFmtId="0" fontId="22" fillId="0" borderId="6" xfId="1" applyFont="1" applyBorder="1" applyAlignment="1">
      <alignment horizontal="center" vertical="center"/>
    </xf>
    <xf numFmtId="0" fontId="22" fillId="0" borderId="7" xfId="1" applyFont="1" applyBorder="1" applyAlignment="1">
      <alignment horizontal="center" vertical="center"/>
    </xf>
    <xf numFmtId="167" fontId="21" fillId="0" borderId="13" xfId="1" applyNumberFormat="1" applyFont="1" applyBorder="1" applyAlignment="1">
      <alignment vertical="center"/>
    </xf>
    <xf numFmtId="167" fontId="21" fillId="0" borderId="12" xfId="1" applyNumberFormat="1" applyFont="1" applyBorder="1" applyAlignment="1">
      <alignment vertical="center"/>
    </xf>
    <xf numFmtId="167" fontId="21" fillId="0" borderId="11" xfId="1" applyNumberFormat="1" applyFont="1" applyBorder="1" applyAlignment="1">
      <alignment vertical="center"/>
    </xf>
    <xf numFmtId="0" fontId="22" fillId="0" borderId="10" xfId="1" applyFont="1" applyBorder="1" applyAlignment="1">
      <alignment horizontal="center" vertical="center"/>
    </xf>
    <xf numFmtId="1" fontId="21" fillId="0" borderId="5" xfId="1" applyNumberFormat="1" applyFont="1" applyBorder="1" applyAlignment="1">
      <alignment horizontal="center" vertical="center" shrinkToFit="1"/>
    </xf>
    <xf numFmtId="0" fontId="22" fillId="0" borderId="0" xfId="1" applyFont="1" applyAlignment="1">
      <alignment horizontal="center" vertical="center"/>
    </xf>
    <xf numFmtId="1" fontId="21" fillId="0" borderId="4" xfId="1" applyNumberFormat="1" applyFont="1" applyBorder="1" applyAlignment="1">
      <alignment horizontal="center" vertical="center" shrinkToFit="1"/>
    </xf>
    <xf numFmtId="0" fontId="21" fillId="0" borderId="5" xfId="1" applyFont="1" applyBorder="1" applyAlignment="1">
      <alignment horizontal="center" vertical="center"/>
    </xf>
    <xf numFmtId="166" fontId="21" fillId="0" borderId="8" xfId="1" applyNumberFormat="1" applyFont="1" applyBorder="1" applyAlignment="1">
      <alignment horizontal="right" vertical="center"/>
    </xf>
    <xf numFmtId="0" fontId="21" fillId="0" borderId="3" xfId="1" applyFont="1" applyBorder="1" applyAlignment="1">
      <alignment vertical="center"/>
    </xf>
    <xf numFmtId="0" fontId="21" fillId="0" borderId="1" xfId="1" applyFont="1" applyBorder="1" applyAlignment="1">
      <alignment vertical="center"/>
    </xf>
    <xf numFmtId="1" fontId="21" fillId="0" borderId="3" xfId="1" applyNumberFormat="1" applyFont="1" applyBorder="1" applyAlignment="1">
      <alignment horizontal="center" vertical="center" shrinkToFit="1"/>
    </xf>
    <xf numFmtId="1" fontId="21" fillId="0" borderId="2" xfId="1" applyNumberFormat="1" applyFont="1" applyBorder="1" applyAlignment="1">
      <alignment horizontal="center" vertical="center" shrinkToFit="1"/>
    </xf>
    <xf numFmtId="1" fontId="21" fillId="0" borderId="9" xfId="1" applyNumberFormat="1" applyFont="1" applyBorder="1" applyAlignment="1">
      <alignment horizontal="center" vertical="center" shrinkToFit="1"/>
    </xf>
    <xf numFmtId="166" fontId="21" fillId="0" borderId="13" xfId="1" applyNumberFormat="1" applyFont="1" applyBorder="1" applyAlignment="1">
      <alignment horizontal="right" vertical="center"/>
    </xf>
    <xf numFmtId="164" fontId="21" fillId="0" borderId="8" xfId="1" applyNumberFormat="1" applyFont="1" applyBorder="1" applyAlignment="1">
      <alignment vertical="center"/>
    </xf>
    <xf numFmtId="164" fontId="21" fillId="0" borderId="6" xfId="1" applyNumberFormat="1" applyFont="1" applyBorder="1" applyAlignment="1">
      <alignment vertical="center"/>
    </xf>
    <xf numFmtId="164" fontId="21" fillId="0" borderId="7" xfId="1" applyNumberFormat="1" applyFont="1" applyBorder="1" applyAlignment="1">
      <alignment vertical="center"/>
    </xf>
    <xf numFmtId="0" fontId="22" fillId="2" borderId="1" xfId="1" applyFont="1" applyFill="1" applyBorder="1" applyAlignment="1">
      <alignment horizontal="center" vertical="center" wrapText="1"/>
    </xf>
    <xf numFmtId="164" fontId="21" fillId="0" borderId="14" xfId="1" applyNumberFormat="1" applyFont="1" applyBorder="1" applyAlignment="1">
      <alignment vertical="center"/>
    </xf>
    <xf numFmtId="164" fontId="21" fillId="0" borderId="15" xfId="1" applyNumberFormat="1" applyFont="1" applyBorder="1" applyAlignment="1">
      <alignment vertical="center"/>
    </xf>
    <xf numFmtId="166" fontId="21" fillId="0" borderId="14" xfId="1" applyNumberFormat="1" applyFont="1" applyBorder="1" applyAlignment="1">
      <alignment horizontal="right" vertical="center"/>
    </xf>
    <xf numFmtId="2" fontId="21" fillId="0" borderId="7" xfId="1" applyNumberFormat="1" applyFont="1" applyBorder="1" applyAlignment="1">
      <alignment vertical="center" shrinkToFit="1"/>
    </xf>
    <xf numFmtId="2" fontId="21" fillId="0" borderId="15" xfId="1" applyNumberFormat="1" applyFont="1" applyBorder="1" applyAlignment="1">
      <alignment vertical="center" shrinkToFit="1"/>
    </xf>
    <xf numFmtId="167" fontId="21" fillId="0" borderId="9" xfId="1" applyNumberFormat="1" applyFont="1" applyBorder="1" applyAlignment="1">
      <alignment horizontal="center" vertical="center" shrinkToFit="1"/>
    </xf>
    <xf numFmtId="1" fontId="21" fillId="0" borderId="1" xfId="1" applyNumberFormat="1" applyFont="1" applyBorder="1" applyAlignment="1">
      <alignment horizontal="center" vertical="center" shrinkToFit="1"/>
    </xf>
    <xf numFmtId="164" fontId="21" fillId="0" borderId="13" xfId="1" applyNumberFormat="1" applyFont="1" applyBorder="1" applyAlignment="1">
      <alignment vertical="center"/>
    </xf>
    <xf numFmtId="164" fontId="21" fillId="0" borderId="12" xfId="1" applyNumberFormat="1" applyFont="1" applyBorder="1" applyAlignment="1">
      <alignment vertical="center"/>
    </xf>
    <xf numFmtId="164" fontId="21" fillId="0" borderId="11" xfId="1" applyNumberFormat="1" applyFont="1" applyBorder="1" applyAlignment="1">
      <alignment vertical="center"/>
    </xf>
    <xf numFmtId="167" fontId="21" fillId="0" borderId="6" xfId="1" applyNumberFormat="1" applyFont="1" applyBorder="1" applyAlignment="1">
      <alignment vertical="center" shrinkToFit="1"/>
    </xf>
    <xf numFmtId="0" fontId="22" fillId="2" borderId="6" xfId="1" applyFont="1" applyFill="1" applyBorder="1" applyAlignment="1">
      <alignment horizontal="left" vertical="center"/>
    </xf>
    <xf numFmtId="0" fontId="22" fillId="2" borderId="0" xfId="1" applyFont="1" applyFill="1" applyAlignment="1">
      <alignment horizontal="left" vertical="center"/>
    </xf>
    <xf numFmtId="2" fontId="21" fillId="0" borderId="13" xfId="1" applyNumberFormat="1" applyFont="1" applyBorder="1" applyAlignment="1">
      <alignment vertical="center" shrinkToFit="1"/>
    </xf>
    <xf numFmtId="2" fontId="21" fillId="0" borderId="12" xfId="1" applyNumberFormat="1" applyFont="1" applyBorder="1" applyAlignment="1">
      <alignment vertical="center" shrinkToFit="1"/>
    </xf>
    <xf numFmtId="1" fontId="21" fillId="0" borderId="10" xfId="1" applyNumberFormat="1" applyFont="1" applyBorder="1" applyAlignment="1">
      <alignment horizontal="center" vertical="center" shrinkToFit="1"/>
    </xf>
    <xf numFmtId="2" fontId="21" fillId="0" borderId="11" xfId="1" applyNumberFormat="1" applyFont="1" applyBorder="1" applyAlignment="1">
      <alignment vertical="center" shrinkToFit="1"/>
    </xf>
    <xf numFmtId="0" fontId="22" fillId="2" borderId="0" xfId="1" applyFont="1" applyFill="1" applyAlignment="1">
      <alignment vertical="center"/>
    </xf>
    <xf numFmtId="164" fontId="22" fillId="2" borderId="3" xfId="1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right"/>
    </xf>
    <xf numFmtId="167" fontId="2" fillId="0" borderId="5" xfId="0" applyNumberFormat="1" applyFont="1" applyBorder="1" applyAlignment="1">
      <alignment horizontal="center" shrinkToFit="1"/>
    </xf>
    <xf numFmtId="0" fontId="3" fillId="2" borderId="8" xfId="0" applyFont="1" applyFill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4" xfId="0" applyFont="1" applyBorder="1" applyAlignment="1">
      <alignment horizontal="center"/>
    </xf>
    <xf numFmtId="167" fontId="2" fillId="0" borderId="4" xfId="0" applyNumberFormat="1" applyFont="1" applyBorder="1" applyAlignment="1">
      <alignment horizontal="center" shrinkToFit="1"/>
    </xf>
    <xf numFmtId="0" fontId="2" fillId="0" borderId="4" xfId="0" applyFont="1" applyBorder="1"/>
    <xf numFmtId="0" fontId="2" fillId="0" borderId="9" xfId="0" applyFont="1" applyBorder="1" applyAlignment="1">
      <alignment horizontal="right"/>
    </xf>
    <xf numFmtId="0" fontId="2" fillId="0" borderId="9" xfId="0" applyFont="1" applyBorder="1" applyAlignment="1">
      <alignment horizontal="center"/>
    </xf>
    <xf numFmtId="167" fontId="2" fillId="0" borderId="9" xfId="0" applyNumberFormat="1" applyFont="1" applyBorder="1" applyAlignment="1">
      <alignment horizontal="center" shrinkToFit="1"/>
    </xf>
    <xf numFmtId="0" fontId="3" fillId="2" borderId="3" xfId="0" applyFont="1" applyFill="1" applyBorder="1" applyAlignment="1">
      <alignment horizontal="center"/>
    </xf>
    <xf numFmtId="0" fontId="2" fillId="0" borderId="15" xfId="0" applyFont="1" applyBorder="1"/>
    <xf numFmtId="0" fontId="2" fillId="0" borderId="1" xfId="0" applyFont="1" applyBorder="1"/>
    <xf numFmtId="0" fontId="2" fillId="0" borderId="2" xfId="0" applyFont="1" applyBorder="1"/>
    <xf numFmtId="0" fontId="3" fillId="2" borderId="14" xfId="0" applyFont="1" applyFill="1" applyBorder="1" applyAlignment="1">
      <alignment horizontal="center"/>
    </xf>
    <xf numFmtId="0" fontId="2" fillId="2" borderId="14" xfId="0" applyFont="1" applyFill="1" applyBorder="1"/>
    <xf numFmtId="0" fontId="2" fillId="2" borderId="15" xfId="0" applyFont="1" applyFill="1" applyBorder="1"/>
    <xf numFmtId="0" fontId="2" fillId="2" borderId="0" xfId="0" applyFont="1" applyFill="1"/>
    <xf numFmtId="0" fontId="8" fillId="2" borderId="10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5" fillId="2" borderId="2" xfId="0" applyFont="1" applyFill="1" applyBorder="1"/>
    <xf numFmtId="166" fontId="2" fillId="0" borderId="5" xfId="0" applyNumberFormat="1" applyFont="1" applyBorder="1" applyAlignment="1">
      <alignment horizontal="center"/>
    </xf>
    <xf numFmtId="166" fontId="2" fillId="0" borderId="10" xfId="0" applyNumberFormat="1" applyFont="1" applyBorder="1" applyAlignment="1">
      <alignment horizontal="center"/>
    </xf>
    <xf numFmtId="166" fontId="2" fillId="0" borderId="4" xfId="0" applyNumberFormat="1" applyFont="1" applyBorder="1" applyAlignment="1">
      <alignment horizontal="center"/>
    </xf>
    <xf numFmtId="0" fontId="0" fillId="0" borderId="5" xfId="0" applyBorder="1"/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0" xfId="0" applyFont="1" applyAlignment="1">
      <alignment horizontal="right"/>
    </xf>
    <xf numFmtId="165" fontId="2" fillId="0" borderId="10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166" fontId="2" fillId="2" borderId="5" xfId="0" applyNumberFormat="1" applyFont="1" applyFill="1" applyBorder="1"/>
    <xf numFmtId="164" fontId="35" fillId="2" borderId="6" xfId="0" applyNumberFormat="1" applyFont="1" applyFill="1" applyBorder="1" applyAlignment="1">
      <alignment horizontal="center"/>
    </xf>
    <xf numFmtId="0" fontId="35" fillId="2" borderId="6" xfId="0" applyFont="1" applyFill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2" fontId="2" fillId="0" borderId="0" xfId="0" applyNumberFormat="1" applyFont="1" applyAlignment="1">
      <alignment horizontal="center"/>
    </xf>
    <xf numFmtId="2" fontId="2" fillId="0" borderId="14" xfId="0" applyNumberFormat="1" applyFont="1" applyBorder="1" applyAlignment="1">
      <alignment horizontal="center"/>
    </xf>
    <xf numFmtId="166" fontId="2" fillId="2" borderId="4" xfId="0" applyNumberFormat="1" applyFont="1" applyFill="1" applyBorder="1"/>
    <xf numFmtId="164" fontId="35" fillId="2" borderId="0" xfId="0" applyNumberFormat="1" applyFont="1" applyFill="1" applyAlignment="1">
      <alignment horizontal="center"/>
    </xf>
    <xf numFmtId="0" fontId="35" fillId="2" borderId="0" xfId="0" applyFont="1" applyFill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  <xf numFmtId="2" fontId="2" fillId="0" borderId="13" xfId="0" applyNumberFormat="1" applyFont="1" applyBorder="1" applyAlignment="1">
      <alignment horizontal="center"/>
    </xf>
    <xf numFmtId="166" fontId="2" fillId="2" borderId="10" xfId="0" applyNumberFormat="1" applyFont="1" applyFill="1" applyBorder="1"/>
    <xf numFmtId="164" fontId="35" fillId="2" borderId="12" xfId="0" applyNumberFormat="1" applyFont="1" applyFill="1" applyBorder="1" applyAlignment="1">
      <alignment horizontal="center"/>
    </xf>
    <xf numFmtId="0" fontId="35" fillId="2" borderId="12" xfId="0" applyFont="1" applyFill="1" applyBorder="1" applyAlignment="1">
      <alignment horizontal="center"/>
    </xf>
    <xf numFmtId="166" fontId="2" fillId="0" borderId="6" xfId="0" applyNumberFormat="1" applyFont="1" applyBorder="1" applyAlignment="1">
      <alignment horizontal="center"/>
    </xf>
    <xf numFmtId="166" fontId="2" fillId="0" borderId="0" xfId="0" applyNumberFormat="1" applyFont="1" applyAlignment="1">
      <alignment horizontal="center"/>
    </xf>
    <xf numFmtId="166" fontId="2" fillId="0" borderId="12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2" borderId="7" xfId="0" applyFont="1" applyFill="1" applyBorder="1" applyAlignment="1">
      <alignment horizontal="center" shrinkToFit="1"/>
    </xf>
    <xf numFmtId="0" fontId="5" fillId="2" borderId="3" xfId="0" applyFont="1" applyFill="1" applyBorder="1"/>
    <xf numFmtId="0" fontId="3" fillId="2" borderId="11" xfId="0" applyFont="1" applyFill="1" applyBorder="1" applyAlignment="1">
      <alignment horizontal="center" shrinkToFit="1"/>
    </xf>
    <xf numFmtId="166" fontId="2" fillId="0" borderId="11" xfId="0" applyNumberFormat="1" applyFont="1" applyBorder="1" applyAlignment="1">
      <alignment horizontal="right"/>
    </xf>
    <xf numFmtId="166" fontId="2" fillId="0" borderId="12" xfId="0" applyNumberFormat="1" applyFont="1" applyBorder="1" applyAlignment="1">
      <alignment horizontal="right"/>
    </xf>
    <xf numFmtId="166" fontId="2" fillId="0" borderId="15" xfId="0" applyNumberFormat="1" applyFont="1" applyBorder="1" applyAlignment="1">
      <alignment horizontal="right"/>
    </xf>
    <xf numFmtId="166" fontId="2" fillId="0" borderId="0" xfId="0" applyNumberFormat="1" applyFont="1" applyAlignment="1">
      <alignment horizontal="right"/>
    </xf>
    <xf numFmtId="166" fontId="2" fillId="0" borderId="7" xfId="0" applyNumberFormat="1" applyFont="1" applyBorder="1" applyAlignment="1">
      <alignment horizontal="right"/>
    </xf>
    <xf numFmtId="166" fontId="2" fillId="0" borderId="6" xfId="0" applyNumberFormat="1" applyFont="1" applyBorder="1" applyAlignment="1">
      <alignment horizontal="right"/>
    </xf>
    <xf numFmtId="0" fontId="3" fillId="0" borderId="0" xfId="0" applyFont="1" applyAlignment="1">
      <alignment horizontal="center"/>
    </xf>
    <xf numFmtId="166" fontId="2" fillId="0" borderId="7" xfId="0" applyNumberFormat="1" applyFont="1" applyBorder="1"/>
    <xf numFmtId="0" fontId="3" fillId="0" borderId="5" xfId="0" applyFont="1" applyBorder="1" applyAlignment="1">
      <alignment horizontal="center"/>
    </xf>
    <xf numFmtId="166" fontId="2" fillId="0" borderId="15" xfId="0" applyNumberFormat="1" applyFont="1" applyBorder="1"/>
    <xf numFmtId="0" fontId="3" fillId="0" borderId="4" xfId="0" applyFont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166" fontId="2" fillId="0" borderId="10" xfId="0" applyNumberFormat="1" applyFont="1" applyBorder="1"/>
    <xf numFmtId="0" fontId="3" fillId="0" borderId="10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2" fontId="2" fillId="0" borderId="8" xfId="0" applyNumberFormat="1" applyFont="1" applyBorder="1"/>
    <xf numFmtId="166" fontId="2" fillId="0" borderId="9" xfId="0" applyNumberFormat="1" applyFont="1" applyBorder="1"/>
    <xf numFmtId="166" fontId="2" fillId="0" borderId="12" xfId="0" applyNumberFormat="1" applyFont="1" applyBorder="1"/>
    <xf numFmtId="166" fontId="2" fillId="0" borderId="11" xfId="0" applyNumberFormat="1" applyFont="1" applyBorder="1"/>
    <xf numFmtId="0" fontId="3" fillId="2" borderId="9" xfId="0" applyFont="1" applyFill="1" applyBorder="1" applyAlignment="1">
      <alignment horizontal="center"/>
    </xf>
    <xf numFmtId="0" fontId="0" fillId="2" borderId="13" xfId="0" applyFill="1" applyBorder="1"/>
    <xf numFmtId="0" fontId="0" fillId="2" borderId="11" xfId="0" applyFill="1" applyBorder="1"/>
    <xf numFmtId="0" fontId="38" fillId="0" borderId="0" xfId="2" applyFont="1" applyAlignment="1">
      <alignment horizontal="center" vertical="center"/>
    </xf>
    <xf numFmtId="0" fontId="37" fillId="0" borderId="0" xfId="2"/>
    <xf numFmtId="0" fontId="38" fillId="0" borderId="14" xfId="2" applyFont="1" applyBorder="1" applyAlignment="1">
      <alignment horizontal="center" vertical="center"/>
    </xf>
    <xf numFmtId="165" fontId="38" fillId="0" borderId="4" xfId="2" applyNumberFormat="1" applyFont="1" applyBorder="1" applyAlignment="1">
      <alignment horizontal="center" vertical="center"/>
    </xf>
    <xf numFmtId="165" fontId="40" fillId="0" borderId="9" xfId="2" applyNumberFormat="1" applyFont="1" applyBorder="1" applyAlignment="1">
      <alignment horizontal="center" vertical="center" shrinkToFit="1"/>
    </xf>
    <xf numFmtId="165" fontId="40" fillId="2" borderId="9" xfId="2" applyNumberFormat="1" applyFont="1" applyFill="1" applyBorder="1" applyAlignment="1">
      <alignment horizontal="center" vertical="center" shrinkToFit="1"/>
    </xf>
    <xf numFmtId="0" fontId="38" fillId="0" borderId="8" xfId="2" applyFont="1" applyBorder="1" applyAlignment="1">
      <alignment horizontal="center" vertical="center"/>
    </xf>
    <xf numFmtId="0" fontId="38" fillId="0" borderId="6" xfId="2" applyFont="1" applyBorder="1" applyAlignment="1">
      <alignment horizontal="center" vertical="center"/>
    </xf>
    <xf numFmtId="165" fontId="38" fillId="0" borderId="5" xfId="2" applyNumberFormat="1" applyFont="1" applyBorder="1" applyAlignment="1">
      <alignment horizontal="center" vertical="center"/>
    </xf>
    <xf numFmtId="0" fontId="9" fillId="2" borderId="4" xfId="2" applyFont="1" applyFill="1" applyBorder="1" applyAlignment="1">
      <alignment horizontal="center" vertical="center" wrapText="1"/>
    </xf>
    <xf numFmtId="165" fontId="40" fillId="0" borderId="3" xfId="2" applyNumberFormat="1" applyFont="1" applyBorder="1" applyAlignment="1">
      <alignment horizontal="center" vertical="center" shrinkToFit="1"/>
    </xf>
    <xf numFmtId="0" fontId="40" fillId="2" borderId="9" xfId="2" applyFont="1" applyFill="1" applyBorder="1" applyAlignment="1">
      <alignment horizontal="center" vertical="center"/>
    </xf>
    <xf numFmtId="0" fontId="38" fillId="0" borderId="7" xfId="2" applyFont="1" applyBorder="1" applyAlignment="1">
      <alignment horizontal="center" vertical="center"/>
    </xf>
    <xf numFmtId="165" fontId="38" fillId="0" borderId="7" xfId="2" applyNumberFormat="1" applyFont="1" applyBorder="1" applyAlignment="1">
      <alignment horizontal="center" vertical="center"/>
    </xf>
    <xf numFmtId="0" fontId="9" fillId="2" borderId="5" xfId="2" applyFont="1" applyFill="1" applyBorder="1" applyAlignment="1">
      <alignment horizontal="center" vertical="center" wrapText="1"/>
    </xf>
    <xf numFmtId="0" fontId="38" fillId="0" borderId="15" xfId="2" applyFont="1" applyBorder="1" applyAlignment="1">
      <alignment horizontal="center" vertical="center"/>
    </xf>
    <xf numFmtId="165" fontId="38" fillId="0" borderId="15" xfId="2" applyNumberFormat="1" applyFont="1" applyBorder="1" applyAlignment="1">
      <alignment horizontal="center" vertical="center"/>
    </xf>
    <xf numFmtId="0" fontId="38" fillId="0" borderId="13" xfId="2" applyFont="1" applyBorder="1" applyAlignment="1">
      <alignment horizontal="center" vertical="center"/>
    </xf>
    <xf numFmtId="0" fontId="38" fillId="0" borderId="12" xfId="2" applyFont="1" applyBorder="1" applyAlignment="1">
      <alignment horizontal="center" vertical="center"/>
    </xf>
    <xf numFmtId="0" fontId="38" fillId="0" borderId="11" xfId="2" applyFont="1" applyBorder="1" applyAlignment="1">
      <alignment horizontal="center" vertical="center"/>
    </xf>
    <xf numFmtId="165" fontId="38" fillId="0" borderId="11" xfId="2" applyNumberFormat="1" applyFont="1" applyBorder="1" applyAlignment="1">
      <alignment horizontal="center" vertical="center"/>
    </xf>
    <xf numFmtId="0" fontId="9" fillId="2" borderId="10" xfId="2" applyFont="1" applyFill="1" applyBorder="1" applyAlignment="1">
      <alignment horizontal="center" vertical="center" wrapText="1"/>
    </xf>
    <xf numFmtId="165" fontId="38" fillId="0" borderId="10" xfId="2" applyNumberFormat="1" applyFont="1" applyBorder="1" applyAlignment="1">
      <alignment horizontal="center" vertical="center"/>
    </xf>
    <xf numFmtId="0" fontId="40" fillId="2" borderId="3" xfId="2" applyFont="1" applyFill="1" applyBorder="1" applyAlignment="1">
      <alignment horizontal="center" vertical="center"/>
    </xf>
    <xf numFmtId="0" fontId="40" fillId="2" borderId="2" xfId="2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169" fontId="2" fillId="0" borderId="6" xfId="0" applyNumberFormat="1" applyFont="1" applyBorder="1" applyAlignment="1">
      <alignment horizontal="center" shrinkToFit="1"/>
    </xf>
    <xf numFmtId="169" fontId="2" fillId="0" borderId="8" xfId="0" applyNumberFormat="1" applyFont="1" applyBorder="1" applyAlignment="1">
      <alignment shrinkToFit="1"/>
    </xf>
    <xf numFmtId="169" fontId="2" fillId="0" borderId="6" xfId="0" applyNumberFormat="1" applyFont="1" applyBorder="1" applyAlignment="1">
      <alignment shrinkToFit="1"/>
    </xf>
    <xf numFmtId="169" fontId="2" fillId="0" borderId="7" xfId="0" applyNumberFormat="1" applyFont="1" applyBorder="1" applyAlignment="1">
      <alignment shrinkToFit="1"/>
    </xf>
    <xf numFmtId="169" fontId="2" fillId="0" borderId="8" xfId="0" applyNumberFormat="1" applyFont="1" applyBorder="1" applyAlignment="1">
      <alignment horizontal="center" shrinkToFit="1"/>
    </xf>
    <xf numFmtId="169" fontId="2" fillId="0" borderId="5" xfId="0" applyNumberFormat="1" applyFont="1" applyBorder="1" applyAlignment="1">
      <alignment horizontal="center" shrinkToFit="1"/>
    </xf>
    <xf numFmtId="169" fontId="2" fillId="0" borderId="7" xfId="0" applyNumberFormat="1" applyFont="1" applyBorder="1" applyAlignment="1">
      <alignment horizontal="center" shrinkToFit="1"/>
    </xf>
    <xf numFmtId="12" fontId="2" fillId="0" borderId="6" xfId="0" applyNumberFormat="1" applyFont="1" applyBorder="1" applyAlignment="1">
      <alignment horizontal="center" shrinkToFit="1"/>
    </xf>
    <xf numFmtId="11" fontId="2" fillId="0" borderId="6" xfId="0" applyNumberFormat="1" applyFont="1" applyBorder="1" applyAlignment="1">
      <alignment horizontal="center" shrinkToFit="1"/>
    </xf>
    <xf numFmtId="169" fontId="2" fillId="0" borderId="14" xfId="0" applyNumberFormat="1" applyFont="1" applyBorder="1" applyAlignment="1">
      <alignment horizontal="center" shrinkToFit="1"/>
    </xf>
    <xf numFmtId="169" fontId="2" fillId="0" borderId="0" xfId="0" applyNumberFormat="1" applyFont="1" applyAlignment="1">
      <alignment horizontal="center" shrinkToFit="1"/>
    </xf>
    <xf numFmtId="169" fontId="2" fillId="0" borderId="4" xfId="0" applyNumberFormat="1" applyFont="1" applyBorder="1" applyAlignment="1">
      <alignment horizontal="center" shrinkToFit="1"/>
    </xf>
    <xf numFmtId="169" fontId="2" fillId="0" borderId="15" xfId="0" applyNumberFormat="1" applyFont="1" applyBorder="1" applyAlignment="1">
      <alignment horizontal="center" shrinkToFit="1"/>
    </xf>
    <xf numFmtId="12" fontId="2" fillId="0" borderId="0" xfId="0" applyNumberFormat="1" applyFont="1" applyAlignment="1">
      <alignment horizontal="center" shrinkToFit="1"/>
    </xf>
    <xf numFmtId="11" fontId="2" fillId="0" borderId="0" xfId="0" applyNumberFormat="1" applyFont="1" applyAlignment="1">
      <alignment horizontal="center" shrinkToFit="1"/>
    </xf>
    <xf numFmtId="169" fontId="2" fillId="0" borderId="14" xfId="0" applyNumberFormat="1" applyFont="1" applyBorder="1" applyAlignment="1">
      <alignment shrinkToFit="1"/>
    </xf>
    <xf numFmtId="169" fontId="2" fillId="0" borderId="0" xfId="0" applyNumberFormat="1" applyFont="1" applyAlignment="1">
      <alignment shrinkToFit="1"/>
    </xf>
    <xf numFmtId="169" fontId="2" fillId="0" borderId="15" xfId="0" applyNumberFormat="1" applyFont="1" applyBorder="1" applyAlignment="1">
      <alignment shrinkToFit="1"/>
    </xf>
    <xf numFmtId="169" fontId="2" fillId="0" borderId="13" xfId="0" applyNumberFormat="1" applyFont="1" applyBorder="1" applyAlignment="1">
      <alignment horizontal="center" shrinkToFit="1"/>
    </xf>
    <xf numFmtId="169" fontId="2" fillId="0" borderId="12" xfId="0" applyNumberFormat="1" applyFont="1" applyBorder="1" applyAlignment="1">
      <alignment horizontal="center" shrinkToFit="1"/>
    </xf>
    <xf numFmtId="169" fontId="2" fillId="0" borderId="10" xfId="0" applyNumberFormat="1" applyFont="1" applyBorder="1" applyAlignment="1">
      <alignment horizontal="center" shrinkToFit="1"/>
    </xf>
    <xf numFmtId="169" fontId="2" fillId="0" borderId="11" xfId="0" applyNumberFormat="1" applyFont="1" applyBorder="1" applyAlignment="1">
      <alignment horizontal="center" shrinkToFit="1"/>
    </xf>
    <xf numFmtId="11" fontId="2" fillId="0" borderId="10" xfId="0" applyNumberFormat="1" applyFont="1" applyBorder="1" applyAlignment="1">
      <alignment horizontal="center" shrinkToFit="1"/>
    </xf>
    <xf numFmtId="169" fontId="2" fillId="0" borderId="13" xfId="0" applyNumberFormat="1" applyFont="1" applyBorder="1" applyAlignment="1">
      <alignment shrinkToFit="1"/>
    </xf>
    <xf numFmtId="169" fontId="2" fillId="0" borderId="12" xfId="0" applyNumberFormat="1" applyFont="1" applyBorder="1" applyAlignment="1">
      <alignment shrinkToFit="1"/>
    </xf>
    <xf numFmtId="169" fontId="2" fillId="0" borderId="11" xfId="0" applyNumberFormat="1" applyFont="1" applyBorder="1" applyAlignment="1">
      <alignment shrinkToFit="1"/>
    </xf>
    <xf numFmtId="12" fontId="2" fillId="0" borderId="2" xfId="0" applyNumberFormat="1" applyFont="1" applyBorder="1" applyAlignment="1">
      <alignment horizontal="center" shrinkToFit="1"/>
    </xf>
    <xf numFmtId="0" fontId="2" fillId="0" borderId="8" xfId="0" applyFont="1" applyBorder="1" applyAlignment="1">
      <alignment horizontal="center" shrinkToFit="1"/>
    </xf>
    <xf numFmtId="0" fontId="2" fillId="0" borderId="6" xfId="0" applyFont="1" applyBorder="1" applyAlignment="1">
      <alignment horizontal="center" shrinkToFit="1"/>
    </xf>
    <xf numFmtId="0" fontId="2" fillId="0" borderId="7" xfId="0" applyFont="1" applyBorder="1" applyAlignment="1">
      <alignment horizontal="center" shrinkToFit="1"/>
    </xf>
    <xf numFmtId="12" fontId="2" fillId="0" borderId="8" xfId="0" applyNumberFormat="1" applyFont="1" applyBorder="1" applyAlignment="1">
      <alignment horizontal="center" shrinkToFit="1"/>
    </xf>
    <xf numFmtId="0" fontId="2" fillId="0" borderId="14" xfId="0" applyFont="1" applyBorder="1" applyAlignment="1">
      <alignment horizontal="center" shrinkToFit="1"/>
    </xf>
    <xf numFmtId="0" fontId="2" fillId="0" borderId="0" xfId="0" applyFont="1" applyAlignment="1">
      <alignment horizontal="center" shrinkToFit="1"/>
    </xf>
    <xf numFmtId="0" fontId="2" fillId="0" borderId="15" xfId="0" applyFont="1" applyBorder="1" applyAlignment="1">
      <alignment horizontal="center" shrinkToFit="1"/>
    </xf>
    <xf numFmtId="0" fontId="2" fillId="0" borderId="13" xfId="0" applyFont="1" applyBorder="1" applyAlignment="1">
      <alignment horizontal="center" shrinkToFit="1"/>
    </xf>
    <xf numFmtId="0" fontId="2" fillId="0" borderId="12" xfId="0" applyFont="1" applyBorder="1" applyAlignment="1">
      <alignment horizontal="center" shrinkToFit="1"/>
    </xf>
    <xf numFmtId="0" fontId="2" fillId="0" borderId="11" xfId="0" applyFont="1" applyBorder="1" applyAlignment="1">
      <alignment horizontal="center" shrinkToFit="1"/>
    </xf>
    <xf numFmtId="12" fontId="2" fillId="0" borderId="12" xfId="0" applyNumberFormat="1" applyFont="1" applyBorder="1" applyAlignment="1">
      <alignment horizontal="center" shrinkToFit="1"/>
    </xf>
    <xf numFmtId="12" fontId="2" fillId="0" borderId="11" xfId="0" applyNumberFormat="1" applyFont="1" applyBorder="1" applyAlignment="1">
      <alignment horizontal="center" shrinkToFit="1"/>
    </xf>
    <xf numFmtId="0" fontId="3" fillId="2" borderId="13" xfId="0" applyFont="1" applyFill="1" applyBorder="1" applyAlignment="1">
      <alignment horizontal="center" shrinkToFit="1"/>
    </xf>
    <xf numFmtId="0" fontId="3" fillId="2" borderId="12" xfId="0" applyFont="1" applyFill="1" applyBorder="1" applyAlignment="1">
      <alignment horizontal="center" shrinkToFit="1"/>
    </xf>
    <xf numFmtId="0" fontId="2" fillId="2" borderId="1" xfId="0" applyFont="1" applyFill="1" applyBorder="1" applyAlignment="1">
      <alignment horizontal="center"/>
    </xf>
    <xf numFmtId="13" fontId="2" fillId="0" borderId="9" xfId="0" applyNumberFormat="1" applyFont="1" applyBorder="1" applyAlignment="1">
      <alignment horizontal="center"/>
    </xf>
    <xf numFmtId="12" fontId="2" fillId="0" borderId="2" xfId="0" applyNumberFormat="1" applyFont="1" applyBorder="1" applyAlignment="1">
      <alignment horizontal="center"/>
    </xf>
    <xf numFmtId="12" fontId="2" fillId="0" borderId="3" xfId="0" applyNumberFormat="1" applyFont="1" applyBorder="1" applyAlignment="1">
      <alignment horizontal="center"/>
    </xf>
    <xf numFmtId="12" fontId="2" fillId="0" borderId="1" xfId="0" applyNumberFormat="1" applyFont="1" applyBorder="1" applyAlignment="1">
      <alignment horizontal="center"/>
    </xf>
    <xf numFmtId="13" fontId="2" fillId="0" borderId="4" xfId="0" applyNumberFormat="1" applyFont="1" applyBorder="1" applyAlignment="1">
      <alignment horizontal="center"/>
    </xf>
    <xf numFmtId="12" fontId="2" fillId="0" borderId="0" xfId="0" applyNumberFormat="1" applyFont="1" applyAlignment="1">
      <alignment horizontal="center"/>
    </xf>
    <xf numFmtId="12" fontId="2" fillId="0" borderId="14" xfId="0" applyNumberFormat="1" applyFont="1" applyBorder="1" applyAlignment="1">
      <alignment horizontal="center"/>
    </xf>
    <xf numFmtId="12" fontId="2" fillId="0" borderId="15" xfId="0" applyNumberFormat="1" applyFont="1" applyBorder="1" applyAlignment="1">
      <alignment horizontal="center"/>
    </xf>
    <xf numFmtId="13" fontId="2" fillId="0" borderId="5" xfId="0" applyNumberFormat="1" applyFont="1" applyBorder="1" applyAlignment="1">
      <alignment horizontal="center"/>
    </xf>
    <xf numFmtId="12" fontId="2" fillId="0" borderId="6" xfId="0" applyNumberFormat="1" applyFont="1" applyBorder="1" applyAlignment="1">
      <alignment horizontal="center"/>
    </xf>
    <xf numFmtId="12" fontId="2" fillId="0" borderId="8" xfId="0" applyNumberFormat="1" applyFont="1" applyBorder="1" applyAlignment="1">
      <alignment horizontal="center"/>
    </xf>
    <xf numFmtId="12" fontId="2" fillId="0" borderId="7" xfId="0" applyNumberFormat="1" applyFont="1" applyBorder="1" applyAlignment="1">
      <alignment horizontal="center"/>
    </xf>
    <xf numFmtId="13" fontId="2" fillId="0" borderId="10" xfId="0" applyNumberFormat="1" applyFont="1" applyBorder="1" applyAlignment="1">
      <alignment horizontal="center"/>
    </xf>
    <xf numFmtId="12" fontId="2" fillId="0" borderId="12" xfId="0" applyNumberFormat="1" applyFont="1" applyBorder="1" applyAlignment="1">
      <alignment horizontal="center"/>
    </xf>
    <xf numFmtId="12" fontId="2" fillId="0" borderId="13" xfId="0" applyNumberFormat="1" applyFont="1" applyBorder="1" applyAlignment="1">
      <alignment horizontal="center"/>
    </xf>
    <xf numFmtId="12" fontId="2" fillId="0" borderId="11" xfId="0" applyNumberFormat="1" applyFont="1" applyBorder="1" applyAlignment="1">
      <alignment horizontal="center"/>
    </xf>
    <xf numFmtId="0" fontId="2" fillId="2" borderId="5" xfId="0" applyFont="1" applyFill="1" applyBorder="1"/>
    <xf numFmtId="0" fontId="2" fillId="2" borderId="4" xfId="0" applyFont="1" applyFill="1" applyBorder="1"/>
    <xf numFmtId="0" fontId="2" fillId="2" borderId="10" xfId="0" applyFont="1" applyFill="1" applyBorder="1"/>
    <xf numFmtId="0" fontId="3" fillId="2" borderId="0" xfId="0" applyFont="1" applyFill="1" applyAlignment="1">
      <alignment horizontal="center"/>
    </xf>
    <xf numFmtId="164" fontId="2" fillId="0" borderId="5" xfId="0" applyNumberFormat="1" applyFont="1" applyBorder="1"/>
    <xf numFmtId="164" fontId="2" fillId="0" borderId="4" xfId="0" applyNumberFormat="1" applyFont="1" applyBorder="1"/>
    <xf numFmtId="0" fontId="3" fillId="2" borderId="4" xfId="0" applyFont="1" applyFill="1" applyBorder="1" applyAlignment="1">
      <alignment horizontal="center"/>
    </xf>
    <xf numFmtId="164" fontId="2" fillId="0" borderId="9" xfId="0" applyNumberFormat="1" applyFont="1" applyBorder="1"/>
    <xf numFmtId="166" fontId="2" fillId="0" borderId="9" xfId="0" applyNumberFormat="1" applyFont="1" applyBorder="1" applyAlignment="1">
      <alignment horizontal="center"/>
    </xf>
    <xf numFmtId="0" fontId="45" fillId="2" borderId="9" xfId="0" applyFont="1" applyFill="1" applyBorder="1" applyAlignment="1">
      <alignment horizontal="center"/>
    </xf>
    <xf numFmtId="167" fontId="2" fillId="0" borderId="8" xfId="0" applyNumberFormat="1" applyFont="1" applyBorder="1" applyAlignment="1">
      <alignment horizontal="right"/>
    </xf>
    <xf numFmtId="167" fontId="2" fillId="0" borderId="14" xfId="0" applyNumberFormat="1" applyFont="1" applyBorder="1" applyAlignment="1">
      <alignment horizontal="right"/>
    </xf>
    <xf numFmtId="167" fontId="2" fillId="0" borderId="3" xfId="0" applyNumberFormat="1" applyFont="1" applyBorder="1" applyAlignment="1">
      <alignment horizontal="right"/>
    </xf>
    <xf numFmtId="166" fontId="2" fillId="0" borderId="1" xfId="0" applyNumberFormat="1" applyFont="1" applyBorder="1" applyAlignment="1">
      <alignment horizontal="right"/>
    </xf>
    <xf numFmtId="0" fontId="3" fillId="0" borderId="9" xfId="0" applyFont="1" applyBorder="1" applyAlignment="1">
      <alignment horizontal="center"/>
    </xf>
    <xf numFmtId="166" fontId="2" fillId="0" borderId="6" xfId="0" quotePrefix="1" applyNumberFormat="1" applyFont="1" applyBorder="1" applyAlignment="1">
      <alignment horizontal="center" shrinkToFit="1"/>
    </xf>
    <xf numFmtId="2" fontId="3" fillId="2" borderId="3" xfId="0" applyNumberFormat="1" applyFont="1" applyFill="1" applyBorder="1" applyAlignment="1">
      <alignment horizontal="center" vertical="center"/>
    </xf>
    <xf numFmtId="2" fontId="3" fillId="2" borderId="11" xfId="0" applyNumberFormat="1" applyFont="1" applyFill="1" applyBorder="1" applyAlignment="1">
      <alignment horizontal="center" vertical="center"/>
    </xf>
    <xf numFmtId="166" fontId="2" fillId="0" borderId="0" xfId="0" quotePrefix="1" applyNumberFormat="1" applyFont="1" applyAlignment="1">
      <alignment horizontal="center" shrinkToFit="1"/>
    </xf>
    <xf numFmtId="166" fontId="2" fillId="0" borderId="0" xfId="0" applyNumberFormat="1" applyFont="1" applyAlignment="1">
      <alignment horizontal="center" shrinkToFit="1"/>
    </xf>
    <xf numFmtId="0" fontId="2" fillId="0" borderId="0" xfId="0" quotePrefix="1" applyFont="1" applyAlignment="1">
      <alignment horizontal="center"/>
    </xf>
    <xf numFmtId="167" fontId="2" fillId="0" borderId="8" xfId="0" applyNumberFormat="1" applyFont="1" applyBorder="1"/>
    <xf numFmtId="167" fontId="2" fillId="0" borderId="7" xfId="0" applyNumberFormat="1" applyFont="1" applyBorder="1"/>
    <xf numFmtId="166" fontId="2" fillId="0" borderId="12" xfId="0" applyNumberFormat="1" applyFont="1" applyBorder="1" applyAlignment="1">
      <alignment horizontal="center" shrinkToFit="1"/>
    </xf>
    <xf numFmtId="0" fontId="2" fillId="0" borderId="2" xfId="0" applyFont="1" applyBorder="1" applyAlignment="1">
      <alignment horizontal="right"/>
    </xf>
    <xf numFmtId="167" fontId="2" fillId="0" borderId="13" xfId="0" applyNumberFormat="1" applyFont="1" applyBorder="1"/>
    <xf numFmtId="167" fontId="2" fillId="0" borderId="6" xfId="0" applyNumberFormat="1" applyFont="1" applyBorder="1" applyAlignment="1">
      <alignment horizontal="center"/>
    </xf>
    <xf numFmtId="167" fontId="2" fillId="0" borderId="12" xfId="0" applyNumberFormat="1" applyFont="1" applyBorder="1" applyAlignment="1">
      <alignment horizontal="center"/>
    </xf>
    <xf numFmtId="167" fontId="2" fillId="0" borderId="11" xfId="0" applyNumberFormat="1" applyFont="1" applyBorder="1"/>
    <xf numFmtId="167" fontId="0" fillId="0" borderId="0" xfId="0" applyNumberFormat="1"/>
    <xf numFmtId="167" fontId="2" fillId="0" borderId="3" xfId="0" applyNumberFormat="1" applyFont="1" applyBorder="1"/>
    <xf numFmtId="166" fontId="2" fillId="0" borderId="1" xfId="0" applyNumberFormat="1" applyFont="1" applyBorder="1"/>
    <xf numFmtId="167" fontId="2" fillId="0" borderId="2" xfId="0" applyNumberFormat="1" applyFont="1" applyBorder="1" applyAlignment="1">
      <alignment horizontal="center"/>
    </xf>
    <xf numFmtId="167" fontId="2" fillId="0" borderId="1" xfId="0" applyNumberFormat="1" applyFont="1" applyBorder="1"/>
    <xf numFmtId="167" fontId="2" fillId="0" borderId="14" xfId="0" applyNumberFormat="1" applyFont="1" applyBorder="1"/>
    <xf numFmtId="167" fontId="2" fillId="0" borderId="0" xfId="0" applyNumberFormat="1" applyFont="1" applyAlignment="1">
      <alignment horizontal="center"/>
    </xf>
    <xf numFmtId="167" fontId="2" fillId="0" borderId="15" xfId="0" applyNumberFormat="1" applyFont="1" applyBorder="1"/>
    <xf numFmtId="0" fontId="2" fillId="0" borderId="8" xfId="0" applyFont="1" applyBorder="1" applyAlignment="1">
      <alignment horizontal="right"/>
    </xf>
    <xf numFmtId="0" fontId="2" fillId="0" borderId="14" xfId="0" applyFont="1" applyBorder="1" applyAlignment="1">
      <alignment horizontal="right"/>
    </xf>
    <xf numFmtId="166" fontId="2" fillId="0" borderId="9" xfId="0" applyNumberFormat="1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166" fontId="2" fillId="0" borderId="4" xfId="0" applyNumberFormat="1" applyFont="1" applyBorder="1" applyAlignment="1">
      <alignment horizontal="right"/>
    </xf>
    <xf numFmtId="0" fontId="8" fillId="2" borderId="2" xfId="0" applyFont="1" applyFill="1" applyBorder="1" applyAlignment="1">
      <alignment horizontal="center"/>
    </xf>
    <xf numFmtId="167" fontId="2" fillId="0" borderId="13" xfId="0" applyNumberFormat="1" applyFont="1" applyBorder="1" applyAlignment="1">
      <alignment horizontal="right"/>
    </xf>
    <xf numFmtId="166" fontId="2" fillId="0" borderId="8" xfId="0" applyNumberFormat="1" applyFont="1" applyBorder="1" applyAlignment="1">
      <alignment horizontal="right"/>
    </xf>
    <xf numFmtId="2" fontId="3" fillId="2" borderId="9" xfId="0" applyNumberFormat="1" applyFont="1" applyFill="1" applyBorder="1" applyAlignment="1">
      <alignment horizontal="center" vertical="center"/>
    </xf>
    <xf numFmtId="166" fontId="2" fillId="0" borderId="13" xfId="0" applyNumberFormat="1" applyFont="1" applyBorder="1" applyAlignment="1">
      <alignment horizontal="right"/>
    </xf>
    <xf numFmtId="2" fontId="3" fillId="2" borderId="4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2" borderId="9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166" fontId="2" fillId="2" borderId="8" xfId="0" applyNumberFormat="1" applyFont="1" applyFill="1" applyBorder="1" applyAlignment="1">
      <alignment horizontal="center"/>
    </xf>
    <xf numFmtId="166" fontId="2" fillId="2" borderId="6" xfId="0" applyNumberFormat="1" applyFont="1" applyFill="1" applyBorder="1" applyAlignment="1">
      <alignment horizontal="center"/>
    </xf>
    <xf numFmtId="166" fontId="2" fillId="0" borderId="8" xfId="0" applyNumberFormat="1" applyFont="1" applyBorder="1" applyAlignment="1">
      <alignment horizontal="center"/>
    </xf>
    <xf numFmtId="166" fontId="2" fillId="2" borderId="13" xfId="0" applyNumberFormat="1" applyFont="1" applyFill="1" applyBorder="1" applyAlignment="1">
      <alignment horizontal="center"/>
    </xf>
    <xf numFmtId="166" fontId="2" fillId="2" borderId="12" xfId="0" applyNumberFormat="1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166" fontId="2" fillId="0" borderId="13" xfId="0" applyNumberFormat="1" applyFont="1" applyBorder="1" applyAlignment="1">
      <alignment horizontal="center"/>
    </xf>
    <xf numFmtId="166" fontId="2" fillId="2" borderId="6" xfId="0" quotePrefix="1" applyNumberFormat="1" applyFont="1" applyFill="1" applyBorder="1" applyAlignment="1">
      <alignment horizontal="center" shrinkToFit="1"/>
    </xf>
    <xf numFmtId="166" fontId="2" fillId="2" borderId="14" xfId="0" applyNumberFormat="1" applyFont="1" applyFill="1" applyBorder="1" applyAlignment="1">
      <alignment horizontal="center"/>
    </xf>
    <xf numFmtId="166" fontId="2" fillId="2" borderId="0" xfId="0" applyNumberFormat="1" applyFont="1" applyFill="1" applyAlignment="1">
      <alignment horizontal="center"/>
    </xf>
    <xf numFmtId="166" fontId="2" fillId="2" borderId="0" xfId="0" quotePrefix="1" applyNumberFormat="1" applyFont="1" applyFill="1" applyAlignment="1">
      <alignment horizontal="center" shrinkToFit="1"/>
    </xf>
    <xf numFmtId="166" fontId="2" fillId="0" borderId="14" xfId="0" applyNumberFormat="1" applyFont="1" applyBorder="1" applyAlignment="1">
      <alignment horizontal="center"/>
    </xf>
    <xf numFmtId="166" fontId="2" fillId="2" borderId="0" xfId="0" applyNumberFormat="1" applyFont="1" applyFill="1" applyAlignment="1">
      <alignment horizontal="center" shrinkToFit="1"/>
    </xf>
    <xf numFmtId="0" fontId="2" fillId="2" borderId="0" xfId="0" quotePrefix="1" applyFont="1" applyFill="1" applyAlignment="1">
      <alignment horizontal="center"/>
    </xf>
    <xf numFmtId="166" fontId="2" fillId="2" borderId="12" xfId="0" applyNumberFormat="1" applyFont="1" applyFill="1" applyBorder="1" applyAlignment="1">
      <alignment horizontal="center" shrinkToFit="1"/>
    </xf>
    <xf numFmtId="164" fontId="2" fillId="2" borderId="8" xfId="0" applyNumberFormat="1" applyFont="1" applyFill="1" applyBorder="1" applyAlignment="1">
      <alignment horizontal="center"/>
    </xf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 applyAlignment="1">
      <alignment horizontal="center" shrinkToFit="1"/>
    </xf>
    <xf numFmtId="164" fontId="2" fillId="2" borderId="1" xfId="0" applyNumberFormat="1" applyFont="1" applyFill="1" applyBorder="1" applyAlignment="1">
      <alignment horizontal="center" shrinkToFit="1"/>
    </xf>
    <xf numFmtId="164" fontId="2" fillId="2" borderId="9" xfId="0" applyNumberFormat="1" applyFont="1" applyFill="1" applyBorder="1" applyAlignment="1">
      <alignment horizontal="center" shrinkToFit="1"/>
    </xf>
    <xf numFmtId="167" fontId="2" fillId="2" borderId="1" xfId="0" applyNumberFormat="1" applyFont="1" applyFill="1" applyBorder="1" applyAlignment="1">
      <alignment shrinkToFit="1"/>
    </xf>
    <xf numFmtId="167" fontId="2" fillId="0" borderId="6" xfId="0" applyNumberFormat="1" applyFont="1" applyBorder="1" applyAlignment="1">
      <alignment shrinkToFit="1"/>
    </xf>
    <xf numFmtId="164" fontId="2" fillId="2" borderId="9" xfId="0" applyNumberFormat="1" applyFont="1" applyFill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 shrinkToFit="1"/>
    </xf>
    <xf numFmtId="164" fontId="2" fillId="2" borderId="4" xfId="0" applyNumberFormat="1" applyFont="1" applyFill="1" applyBorder="1" applyAlignment="1">
      <alignment horizontal="center" shrinkToFit="1"/>
    </xf>
    <xf numFmtId="167" fontId="2" fillId="0" borderId="0" xfId="0" applyNumberFormat="1" applyFont="1" applyAlignment="1">
      <alignment shrinkToFit="1"/>
    </xf>
    <xf numFmtId="167" fontId="2" fillId="2" borderId="9" xfId="0" applyNumberFormat="1" applyFont="1" applyFill="1" applyBorder="1" applyAlignment="1">
      <alignment shrinkToFit="1"/>
    </xf>
    <xf numFmtId="164" fontId="2" fillId="0" borderId="14" xfId="0" applyNumberFormat="1" applyFont="1" applyBorder="1" applyAlignment="1">
      <alignment horizontal="center"/>
    </xf>
    <xf numFmtId="164" fontId="2" fillId="0" borderId="14" xfId="0" applyNumberFormat="1" applyFont="1" applyBorder="1" applyAlignment="1">
      <alignment horizontal="center" shrinkToFit="1"/>
    </xf>
    <xf numFmtId="167" fontId="2" fillId="2" borderId="3" xfId="0" applyNumberFormat="1" applyFont="1" applyFill="1" applyBorder="1" applyAlignment="1">
      <alignment shrinkToFit="1"/>
    </xf>
    <xf numFmtId="164" fontId="2" fillId="0" borderId="13" xfId="0" applyNumberFormat="1" applyFont="1" applyBorder="1" applyAlignment="1">
      <alignment horizontal="center" shrinkToFit="1"/>
    </xf>
    <xf numFmtId="164" fontId="2" fillId="0" borderId="12" xfId="0" applyNumberFormat="1" applyFont="1" applyBorder="1" applyAlignment="1">
      <alignment horizontal="center" shrinkToFit="1"/>
    </xf>
    <xf numFmtId="164" fontId="2" fillId="2" borderId="11" xfId="0" applyNumberFormat="1" applyFont="1" applyFill="1" applyBorder="1" applyAlignment="1">
      <alignment horizontal="center"/>
    </xf>
    <xf numFmtId="167" fontId="2" fillId="0" borderId="12" xfId="0" applyNumberFormat="1" applyFont="1" applyBorder="1" applyAlignment="1">
      <alignment shrinkToFit="1"/>
    </xf>
    <xf numFmtId="2" fontId="2" fillId="0" borderId="3" xfId="0" applyNumberFormat="1" applyFont="1" applyBorder="1"/>
    <xf numFmtId="4" fontId="2" fillId="0" borderId="9" xfId="0" applyNumberFormat="1" applyFont="1" applyBorder="1"/>
    <xf numFmtId="2" fontId="2" fillId="0" borderId="13" xfId="0" applyNumberFormat="1" applyFont="1" applyBorder="1"/>
    <xf numFmtId="2" fontId="2" fillId="0" borderId="0" xfId="0" applyNumberFormat="1" applyFont="1"/>
    <xf numFmtId="2" fontId="2" fillId="0" borderId="5" xfId="0" applyNumberFormat="1" applyFont="1" applyBorder="1"/>
    <xf numFmtId="2" fontId="2" fillId="0" borderId="10" xfId="0" applyNumberFormat="1" applyFont="1" applyBorder="1"/>
    <xf numFmtId="2" fontId="2" fillId="0" borderId="2" xfId="0" applyNumberFormat="1" applyFont="1" applyBorder="1"/>
    <xf numFmtId="168" fontId="2" fillId="0" borderId="9" xfId="0" applyNumberFormat="1" applyFont="1" applyBorder="1"/>
    <xf numFmtId="2" fontId="2" fillId="0" borderId="4" xfId="0" applyNumberFormat="1" applyFont="1" applyBorder="1"/>
    <xf numFmtId="168" fontId="2" fillId="0" borderId="4" xfId="0" applyNumberFormat="1" applyFont="1" applyBorder="1"/>
    <xf numFmtId="168" fontId="2" fillId="0" borderId="0" xfId="0" applyNumberFormat="1" applyFont="1"/>
    <xf numFmtId="168" fontId="2" fillId="0" borderId="10" xfId="0" applyNumberFormat="1" applyFont="1" applyBorder="1"/>
    <xf numFmtId="0" fontId="3" fillId="0" borderId="6" xfId="0" applyFont="1" applyBorder="1" applyAlignment="1">
      <alignment horizontal="center"/>
    </xf>
    <xf numFmtId="0" fontId="46" fillId="2" borderId="1" xfId="0" applyFont="1" applyFill="1" applyBorder="1" applyAlignment="1">
      <alignment horizontal="center" vertical="center" wrapText="1"/>
    </xf>
    <xf numFmtId="166" fontId="2" fillId="0" borderId="14" xfId="0" applyNumberFormat="1" applyFont="1" applyBorder="1" applyAlignment="1">
      <alignment shrinkToFit="1"/>
    </xf>
    <xf numFmtId="166" fontId="2" fillId="0" borderId="0" xfId="0" applyNumberFormat="1" applyFont="1" applyAlignment="1">
      <alignment shrinkToFit="1"/>
    </xf>
    <xf numFmtId="166" fontId="2" fillId="0" borderId="15" xfId="0" applyNumberFormat="1" applyFont="1" applyBorder="1" applyAlignment="1">
      <alignment shrinkToFit="1"/>
    </xf>
    <xf numFmtId="164" fontId="47" fillId="0" borderId="14" xfId="0" applyNumberFormat="1" applyFont="1" applyBorder="1" applyAlignment="1">
      <alignment horizontal="center" vertical="center" wrapText="1"/>
    </xf>
    <xf numFmtId="164" fontId="47" fillId="0" borderId="0" xfId="0" applyNumberFormat="1" applyFont="1" applyAlignment="1">
      <alignment horizontal="center" vertical="center" wrapText="1"/>
    </xf>
    <xf numFmtId="1" fontId="47" fillId="0" borderId="15" xfId="0" applyNumberFormat="1" applyFont="1" applyBorder="1" applyAlignment="1">
      <alignment horizontal="center" vertical="center" wrapText="1"/>
    </xf>
    <xf numFmtId="0" fontId="47" fillId="0" borderId="4" xfId="0" applyFont="1" applyBorder="1" applyAlignment="1">
      <alignment horizontal="center" vertical="center" wrapText="1"/>
    </xf>
    <xf numFmtId="2" fontId="2" fillId="0" borderId="1" xfId="0" applyNumberFormat="1" applyFont="1" applyBorder="1"/>
    <xf numFmtId="166" fontId="2" fillId="0" borderId="13" xfId="0" applyNumberFormat="1" applyFont="1" applyBorder="1" applyAlignment="1">
      <alignment shrinkToFit="1"/>
    </xf>
    <xf numFmtId="166" fontId="2" fillId="0" borderId="12" xfId="0" applyNumberFormat="1" applyFont="1" applyBorder="1" applyAlignment="1">
      <alignment shrinkToFit="1"/>
    </xf>
    <xf numFmtId="166" fontId="2" fillId="0" borderId="11" xfId="0" applyNumberFormat="1" applyFont="1" applyBorder="1" applyAlignment="1">
      <alignment shrinkToFit="1"/>
    </xf>
    <xf numFmtId="164" fontId="47" fillId="0" borderId="13" xfId="0" applyNumberFormat="1" applyFont="1" applyBorder="1" applyAlignment="1">
      <alignment horizontal="center" vertical="center" wrapText="1"/>
    </xf>
    <xf numFmtId="164" fontId="47" fillId="0" borderId="12" xfId="0" applyNumberFormat="1" applyFont="1" applyBorder="1" applyAlignment="1">
      <alignment horizontal="center" vertical="center" wrapText="1"/>
    </xf>
    <xf numFmtId="1" fontId="47" fillId="0" borderId="11" xfId="0" applyNumberFormat="1" applyFont="1" applyBorder="1" applyAlignment="1">
      <alignment horizontal="center" vertical="center" wrapText="1"/>
    </xf>
    <xf numFmtId="0" fontId="47" fillId="0" borderId="10" xfId="0" applyFont="1" applyBorder="1" applyAlignment="1">
      <alignment horizontal="center" vertical="center" wrapText="1"/>
    </xf>
    <xf numFmtId="2" fontId="2" fillId="0" borderId="7" xfId="0" applyNumberFormat="1" applyFont="1" applyBorder="1"/>
    <xf numFmtId="2" fontId="2" fillId="0" borderId="12" xfId="0" applyNumberFormat="1" applyFont="1" applyBorder="1"/>
    <xf numFmtId="2" fontId="2" fillId="0" borderId="11" xfId="0" applyNumberFormat="1" applyFont="1" applyBorder="1"/>
    <xf numFmtId="2" fontId="2" fillId="0" borderId="6" xfId="0" applyNumberFormat="1" applyFont="1" applyBorder="1"/>
    <xf numFmtId="0" fontId="46" fillId="0" borderId="3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right"/>
    </xf>
    <xf numFmtId="2" fontId="2" fillId="0" borderId="11" xfId="0" applyNumberFormat="1" applyFont="1" applyBorder="1" applyAlignment="1">
      <alignment horizontal="right"/>
    </xf>
    <xf numFmtId="2" fontId="3" fillId="2" borderId="1" xfId="0" applyNumberFormat="1" applyFont="1" applyFill="1" applyBorder="1" applyAlignment="1">
      <alignment horizontal="center"/>
    </xf>
    <xf numFmtId="164" fontId="47" fillId="0" borderId="8" xfId="0" applyNumberFormat="1" applyFont="1" applyBorder="1" applyAlignment="1">
      <alignment horizontal="center" vertical="center" wrapText="1"/>
    </xf>
    <xf numFmtId="164" fontId="47" fillId="0" borderId="7" xfId="0" applyNumberFormat="1" applyFont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47" fillId="0" borderId="7" xfId="0" applyFont="1" applyBorder="1" applyAlignment="1">
      <alignment horizontal="center" vertical="center" wrapText="1"/>
    </xf>
    <xf numFmtId="164" fontId="47" fillId="0" borderId="15" xfId="0" applyNumberFormat="1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47" fillId="0" borderId="15" xfId="0" applyFont="1" applyBorder="1" applyAlignment="1">
      <alignment horizontal="center" vertical="center" wrapText="1"/>
    </xf>
    <xf numFmtId="164" fontId="46" fillId="2" borderId="3" xfId="0" applyNumberFormat="1" applyFont="1" applyFill="1" applyBorder="1" applyAlignment="1">
      <alignment horizontal="center" vertical="center" wrapText="1"/>
    </xf>
    <xf numFmtId="164" fontId="46" fillId="2" borderId="1" xfId="0" applyNumberFormat="1" applyFont="1" applyFill="1" applyBorder="1" applyAlignment="1">
      <alignment horizontal="center" vertical="center" wrapText="1"/>
    </xf>
    <xf numFmtId="0" fontId="46" fillId="2" borderId="2" xfId="0" applyFont="1" applyFill="1" applyBorder="1" applyAlignment="1">
      <alignment horizontal="center" vertical="center" wrapText="1"/>
    </xf>
    <xf numFmtId="0" fontId="48" fillId="2" borderId="2" xfId="0" applyFont="1" applyFill="1" applyBorder="1" applyAlignment="1">
      <alignment horizontal="center" vertical="center" wrapText="1"/>
    </xf>
    <xf numFmtId="2" fontId="46" fillId="2" borderId="2" xfId="0" applyNumberFormat="1" applyFont="1" applyFill="1" applyBorder="1" applyAlignment="1">
      <alignment horizontal="center" vertical="center" wrapText="1"/>
    </xf>
    <xf numFmtId="167" fontId="2" fillId="2" borderId="2" xfId="0" applyNumberFormat="1" applyFont="1" applyFill="1" applyBorder="1"/>
    <xf numFmtId="167" fontId="2" fillId="0" borderId="0" xfId="0" applyNumberFormat="1" applyFont="1"/>
    <xf numFmtId="164" fontId="2" fillId="2" borderId="2" xfId="0" applyNumberFormat="1" applyFont="1" applyFill="1" applyBorder="1"/>
    <xf numFmtId="1" fontId="2" fillId="0" borderId="5" xfId="0" applyNumberFormat="1" applyFont="1" applyBorder="1" applyAlignment="1">
      <alignment horizontal="center"/>
    </xf>
    <xf numFmtId="1" fontId="2" fillId="0" borderId="4" xfId="0" applyNumberFormat="1" applyFont="1" applyBorder="1" applyAlignment="1">
      <alignment horizontal="center"/>
    </xf>
    <xf numFmtId="164" fontId="2" fillId="0" borderId="12" xfId="0" applyNumberFormat="1" applyFont="1" applyBorder="1"/>
    <xf numFmtId="167" fontId="2" fillId="0" borderId="12" xfId="0" applyNumberFormat="1" applyFont="1" applyBorder="1"/>
    <xf numFmtId="1" fontId="2" fillId="0" borderId="10" xfId="0" applyNumberFormat="1" applyFont="1" applyBorder="1" applyAlignment="1">
      <alignment horizontal="center"/>
    </xf>
    <xf numFmtId="0" fontId="49" fillId="0" borderId="0" xfId="0" applyFont="1"/>
    <xf numFmtId="0" fontId="3" fillId="2" borderId="3" xfId="0" applyFont="1" applyFill="1" applyBorder="1" applyAlignment="1">
      <alignment horizontal="center" shrinkToFit="1"/>
    </xf>
    <xf numFmtId="0" fontId="3" fillId="2" borderId="2" xfId="0" applyFont="1" applyFill="1" applyBorder="1" applyAlignment="1">
      <alignment horizontal="center" shrinkToFit="1"/>
    </xf>
    <xf numFmtId="0" fontId="3" fillId="2" borderId="5" xfId="0" applyFont="1" applyFill="1" applyBorder="1" applyAlignment="1">
      <alignment horizontal="center" shrinkToFit="1"/>
    </xf>
    <xf numFmtId="0" fontId="3" fillId="2" borderId="8" xfId="0" applyFont="1" applyFill="1" applyBorder="1" applyAlignment="1">
      <alignment horizontal="center" shrinkToFit="1"/>
    </xf>
    <xf numFmtId="0" fontId="3" fillId="2" borderId="10" xfId="0" applyFont="1" applyFill="1" applyBorder="1" applyAlignment="1">
      <alignment horizontal="center" shrinkToFit="1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5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9" xfId="0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" xfId="0" applyFont="1" applyFill="1" applyBorder="1"/>
    <xf numFmtId="0" fontId="5" fillId="2" borderId="9" xfId="0" applyFont="1" applyFill="1" applyBorder="1"/>
    <xf numFmtId="0" fontId="5" fillId="3" borderId="9" xfId="0" applyFont="1" applyFill="1" applyBorder="1"/>
    <xf numFmtId="3" fontId="2" fillId="0" borderId="0" xfId="0" applyNumberFormat="1" applyFont="1"/>
    <xf numFmtId="0" fontId="33" fillId="0" borderId="0" xfId="0" applyFont="1" applyAlignment="1">
      <alignment horizontal="center"/>
    </xf>
    <xf numFmtId="0" fontId="53" fillId="0" borderId="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shrinkToFit="1"/>
    </xf>
    <xf numFmtId="3" fontId="3" fillId="0" borderId="12" xfId="0" applyNumberFormat="1" applyFont="1" applyBorder="1" applyAlignment="1">
      <alignment horizontal="center"/>
    </xf>
    <xf numFmtId="0" fontId="47" fillId="0" borderId="4" xfId="0" applyFont="1" applyBorder="1" applyAlignment="1">
      <alignment horizontal="right" vertical="center" wrapText="1"/>
    </xf>
    <xf numFmtId="3" fontId="2" fillId="0" borderId="14" xfId="0" applyNumberFormat="1" applyFont="1" applyBorder="1"/>
    <xf numFmtId="166" fontId="2" fillId="0" borderId="8" xfId="0" applyNumberFormat="1" applyFont="1" applyBorder="1" applyAlignment="1">
      <alignment shrinkToFit="1"/>
    </xf>
    <xf numFmtId="0" fontId="47" fillId="0" borderId="10" xfId="0" applyFont="1" applyBorder="1" applyAlignment="1">
      <alignment horizontal="right" vertical="center" wrapText="1"/>
    </xf>
    <xf numFmtId="3" fontId="2" fillId="0" borderId="13" xfId="0" applyNumberFormat="1" applyFont="1" applyBorder="1"/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 shrinkToFit="1"/>
    </xf>
    <xf numFmtId="3" fontId="3" fillId="0" borderId="3" xfId="0" applyNumberFormat="1" applyFont="1" applyBorder="1" applyAlignment="1">
      <alignment horizontal="center" vertical="center" wrapText="1"/>
    </xf>
    <xf numFmtId="0" fontId="2" fillId="0" borderId="0" xfId="1" applyFont="1"/>
    <xf numFmtId="0" fontId="2" fillId="0" borderId="0" xfId="1" applyFont="1" applyAlignment="1">
      <alignment horizontal="center"/>
    </xf>
    <xf numFmtId="0" fontId="2" fillId="0" borderId="8" xfId="1" applyFont="1" applyBorder="1" applyAlignment="1">
      <alignment horizontal="center"/>
    </xf>
    <xf numFmtId="0" fontId="2" fillId="0" borderId="6" xfId="1" applyFont="1" applyBorder="1" applyAlignment="1">
      <alignment horizontal="center"/>
    </xf>
    <xf numFmtId="0" fontId="2" fillId="0" borderId="7" xfId="1" applyFont="1" applyBorder="1" applyAlignment="1">
      <alignment horizontal="center"/>
    </xf>
    <xf numFmtId="164" fontId="2" fillId="0" borderId="7" xfId="1" applyNumberFormat="1" applyFont="1" applyBorder="1" applyAlignment="1">
      <alignment horizontal="center"/>
    </xf>
    <xf numFmtId="164" fontId="2" fillId="0" borderId="5" xfId="1" applyNumberFormat="1" applyFont="1" applyBorder="1" applyAlignment="1">
      <alignment horizontal="center"/>
    </xf>
    <xf numFmtId="0" fontId="2" fillId="0" borderId="6" xfId="1" applyFont="1" applyBorder="1"/>
    <xf numFmtId="0" fontId="2" fillId="2" borderId="5" xfId="1" applyFont="1" applyFill="1" applyBorder="1" applyAlignment="1">
      <alignment horizontal="center"/>
    </xf>
    <xf numFmtId="0" fontId="2" fillId="0" borderId="14" xfId="1" applyFont="1" applyBorder="1" applyAlignment="1">
      <alignment horizontal="center"/>
    </xf>
    <xf numFmtId="0" fontId="2" fillId="0" borderId="15" xfId="1" applyFont="1" applyBorder="1" applyAlignment="1">
      <alignment horizontal="center"/>
    </xf>
    <xf numFmtId="164" fontId="2" fillId="0" borderId="15" xfId="1" applyNumberFormat="1" applyFont="1" applyBorder="1" applyAlignment="1">
      <alignment horizontal="center"/>
    </xf>
    <xf numFmtId="164" fontId="2" fillId="0" borderId="4" xfId="1" applyNumberFormat="1" applyFont="1" applyBorder="1" applyAlignment="1">
      <alignment horizontal="center"/>
    </xf>
    <xf numFmtId="0" fontId="2" fillId="2" borderId="4" xfId="1" applyFont="1" applyFill="1" applyBorder="1" applyAlignment="1">
      <alignment horizontal="center"/>
    </xf>
    <xf numFmtId="0" fontId="2" fillId="0" borderId="8" xfId="1" applyFont="1" applyBorder="1"/>
    <xf numFmtId="0" fontId="3" fillId="2" borderId="5" xfId="1" applyFont="1" applyFill="1" applyBorder="1" applyAlignment="1">
      <alignment horizontal="center"/>
    </xf>
    <xf numFmtId="0" fontId="2" fillId="0" borderId="13" xfId="1" applyFont="1" applyBorder="1"/>
    <xf numFmtId="0" fontId="2" fillId="0" borderId="12" xfId="1" applyFont="1" applyBorder="1" applyAlignment="1">
      <alignment horizontal="center"/>
    </xf>
    <xf numFmtId="0" fontId="2" fillId="0" borderId="13" xfId="1" applyFont="1" applyBorder="1" applyAlignment="1">
      <alignment horizontal="center"/>
    </xf>
    <xf numFmtId="0" fontId="2" fillId="0" borderId="11" xfId="1" applyFont="1" applyBorder="1" applyAlignment="1">
      <alignment horizontal="center"/>
    </xf>
    <xf numFmtId="164" fontId="2" fillId="0" borderId="11" xfId="1" applyNumberFormat="1" applyFont="1" applyBorder="1" applyAlignment="1">
      <alignment horizontal="center"/>
    </xf>
    <xf numFmtId="164" fontId="2" fillId="0" borderId="10" xfId="1" applyNumberFormat="1" applyFont="1" applyBorder="1" applyAlignment="1">
      <alignment horizontal="center"/>
    </xf>
    <xf numFmtId="0" fontId="2" fillId="0" borderId="12" xfId="1" applyFont="1" applyBorder="1"/>
    <xf numFmtId="0" fontId="2" fillId="2" borderId="10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0" borderId="13" xfId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0" fontId="3" fillId="2" borderId="9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2" fillId="0" borderId="5" xfId="1" applyFont="1" applyBorder="1"/>
    <xf numFmtId="166" fontId="2" fillId="0" borderId="5" xfId="1" applyNumberFormat="1" applyFont="1" applyBorder="1"/>
    <xf numFmtId="0" fontId="3" fillId="2" borderId="7" xfId="1" applyFont="1" applyFill="1" applyBorder="1" applyAlignment="1">
      <alignment horizontal="center"/>
    </xf>
    <xf numFmtId="0" fontId="2" fillId="0" borderId="10" xfId="1" applyFont="1" applyBorder="1"/>
    <xf numFmtId="166" fontId="2" fillId="0" borderId="10" xfId="1" applyNumberFormat="1" applyFont="1" applyBorder="1"/>
    <xf numFmtId="0" fontId="3" fillId="2" borderId="11" xfId="1" applyFont="1" applyFill="1" applyBorder="1" applyAlignment="1">
      <alignment horizontal="center"/>
    </xf>
    <xf numFmtId="0" fontId="2" fillId="0" borderId="9" xfId="1" applyFont="1" applyBorder="1"/>
    <xf numFmtId="166" fontId="2" fillId="0" borderId="9" xfId="1" applyNumberFormat="1" applyFont="1" applyBorder="1"/>
    <xf numFmtId="0" fontId="3" fillId="2" borderId="0" xfId="1" applyFont="1" applyFill="1" applyAlignment="1">
      <alignment horizontal="center"/>
    </xf>
    <xf numFmtId="0" fontId="2" fillId="0" borderId="4" xfId="1" applyFont="1" applyBorder="1"/>
    <xf numFmtId="166" fontId="2" fillId="0" borderId="4" xfId="1" applyNumberFormat="1" applyFont="1" applyBorder="1"/>
    <xf numFmtId="0" fontId="2" fillId="0" borderId="14" xfId="1" applyFont="1" applyBorder="1"/>
    <xf numFmtId="0" fontId="3" fillId="2" borderId="15" xfId="1" applyFont="1" applyFill="1" applyBorder="1" applyAlignment="1">
      <alignment horizontal="center"/>
    </xf>
    <xf numFmtId="166" fontId="2" fillId="0" borderId="13" xfId="1" applyNumberFormat="1" applyFont="1" applyBorder="1"/>
    <xf numFmtId="0" fontId="3" fillId="2" borderId="10" xfId="1" applyFont="1" applyFill="1" applyBorder="1" applyAlignment="1">
      <alignment horizontal="center"/>
    </xf>
    <xf numFmtId="166" fontId="2" fillId="0" borderId="3" xfId="1" applyNumberFormat="1" applyFont="1" applyBorder="1"/>
    <xf numFmtId="0" fontId="8" fillId="2" borderId="9" xfId="1" applyFont="1" applyFill="1" applyBorder="1" applyAlignment="1">
      <alignment horizontal="center"/>
    </xf>
    <xf numFmtId="0" fontId="2" fillId="0" borderId="7" xfId="1" applyFont="1" applyBorder="1"/>
    <xf numFmtId="0" fontId="2" fillId="0" borderId="11" xfId="1" applyFont="1" applyBorder="1"/>
    <xf numFmtId="0" fontId="2" fillId="0" borderId="3" xfId="1" applyFont="1" applyBorder="1"/>
    <xf numFmtId="0" fontId="2" fillId="0" borderId="1" xfId="1" applyFont="1" applyBorder="1"/>
    <xf numFmtId="0" fontId="2" fillId="0" borderId="2" xfId="1" applyFont="1" applyBorder="1"/>
    <xf numFmtId="0" fontId="2" fillId="0" borderId="15" xfId="1" applyFont="1" applyBorder="1"/>
    <xf numFmtId="0" fontId="3" fillId="2" borderId="3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0" fontId="2" fillId="2" borderId="0" xfId="1" applyFont="1" applyFill="1"/>
    <xf numFmtId="0" fontId="2" fillId="0" borderId="0" xfId="3" applyFont="1" applyAlignment="1">
      <alignment vertical="center" shrinkToFit="1"/>
    </xf>
    <xf numFmtId="166" fontId="2" fillId="0" borderId="0" xfId="3" applyNumberFormat="1" applyFont="1" applyAlignment="1">
      <alignment vertical="center" shrinkToFit="1"/>
    </xf>
    <xf numFmtId="166" fontId="2" fillId="0" borderId="0" xfId="3" applyNumberFormat="1" applyFont="1" applyAlignment="1">
      <alignment vertical="center"/>
    </xf>
    <xf numFmtId="167" fontId="2" fillId="0" borderId="5" xfId="3" applyNumberFormat="1" applyFont="1" applyBorder="1" applyAlignment="1">
      <alignment vertical="center" shrinkToFit="1"/>
    </xf>
    <xf numFmtId="2" fontId="2" fillId="0" borderId="5" xfId="3" applyNumberFormat="1" applyFont="1" applyBorder="1" applyAlignment="1">
      <alignment vertical="center" shrinkToFit="1"/>
    </xf>
    <xf numFmtId="166" fontId="2" fillId="0" borderId="5" xfId="3" applyNumberFormat="1" applyFont="1" applyBorder="1" applyAlignment="1">
      <alignment vertical="center" shrinkToFit="1"/>
    </xf>
    <xf numFmtId="0" fontId="2" fillId="0" borderId="5" xfId="0" applyFont="1" applyBorder="1" applyAlignment="1">
      <alignment horizontal="center" vertical="center"/>
    </xf>
    <xf numFmtId="167" fontId="2" fillId="0" borderId="4" xfId="3" applyNumberFormat="1" applyFont="1" applyBorder="1" applyAlignment="1">
      <alignment vertical="center" shrinkToFit="1"/>
    </xf>
    <xf numFmtId="2" fontId="2" fillId="0" borderId="4" xfId="3" applyNumberFormat="1" applyFont="1" applyBorder="1" applyAlignment="1">
      <alignment vertical="center" shrinkToFit="1"/>
    </xf>
    <xf numFmtId="166" fontId="2" fillId="0" borderId="4" xfId="3" applyNumberFormat="1" applyFont="1" applyBorder="1" applyAlignment="1">
      <alignment vertical="center" shrinkToFit="1"/>
    </xf>
    <xf numFmtId="0" fontId="2" fillId="0" borderId="4" xfId="0" applyFont="1" applyBorder="1" applyAlignment="1">
      <alignment horizontal="center" vertical="center"/>
    </xf>
    <xf numFmtId="167" fontId="2" fillId="0" borderId="10" xfId="3" applyNumberFormat="1" applyFont="1" applyBorder="1" applyAlignment="1">
      <alignment vertical="center" shrinkToFit="1"/>
    </xf>
    <xf numFmtId="2" fontId="2" fillId="0" borderId="10" xfId="3" applyNumberFormat="1" applyFont="1" applyBorder="1" applyAlignment="1">
      <alignment vertical="center" shrinkToFit="1"/>
    </xf>
    <xf numFmtId="166" fontId="2" fillId="0" borderId="10" xfId="3" applyNumberFormat="1" applyFont="1" applyBorder="1" applyAlignment="1">
      <alignment vertical="center" shrinkToFit="1"/>
    </xf>
    <xf numFmtId="0" fontId="2" fillId="0" borderId="8" xfId="3" applyFont="1" applyBorder="1" applyAlignment="1">
      <alignment vertical="center"/>
    </xf>
    <xf numFmtId="0" fontId="2" fillId="0" borderId="6" xfId="3" applyFont="1" applyBorder="1" applyAlignment="1">
      <alignment vertical="center"/>
    </xf>
    <xf numFmtId="0" fontId="2" fillId="0" borderId="6" xfId="3" applyFont="1" applyBorder="1" applyAlignment="1">
      <alignment vertical="center" shrinkToFit="1"/>
    </xf>
    <xf numFmtId="166" fontId="2" fillId="0" borderId="6" xfId="3" applyNumberFormat="1" applyFont="1" applyBorder="1" applyAlignment="1">
      <alignment vertical="center" shrinkToFit="1"/>
    </xf>
    <xf numFmtId="0" fontId="3" fillId="0" borderId="5" xfId="3" applyFont="1" applyBorder="1" applyAlignment="1">
      <alignment horizontal="center" vertical="center" shrinkToFit="1"/>
    </xf>
    <xf numFmtId="0" fontId="2" fillId="0" borderId="14" xfId="3" applyFont="1" applyBorder="1" applyAlignment="1">
      <alignment vertical="center"/>
    </xf>
    <xf numFmtId="0" fontId="2" fillId="0" borderId="0" xfId="3" applyFont="1" applyAlignment="1">
      <alignment vertical="center"/>
    </xf>
    <xf numFmtId="0" fontId="3" fillId="0" borderId="4" xfId="3" applyFont="1" applyBorder="1" applyAlignment="1">
      <alignment horizontal="center" vertical="center" shrinkToFit="1"/>
    </xf>
    <xf numFmtId="0" fontId="3" fillId="0" borderId="3" xfId="3" applyFont="1" applyBorder="1" applyAlignment="1">
      <alignment horizontal="center" vertical="center" shrinkToFit="1"/>
    </xf>
    <xf numFmtId="0" fontId="3" fillId="0" borderId="2" xfId="3" applyFont="1" applyBorder="1" applyAlignment="1">
      <alignment horizontal="center" vertical="center" shrinkToFit="1"/>
    </xf>
    <xf numFmtId="0" fontId="3" fillId="0" borderId="1" xfId="3" applyFont="1" applyBorder="1" applyAlignment="1">
      <alignment horizontal="center" vertical="center"/>
    </xf>
    <xf numFmtId="0" fontId="2" fillId="0" borderId="9" xfId="3" applyFont="1" applyBorder="1" applyAlignment="1">
      <alignment vertical="center" shrinkToFit="1"/>
    </xf>
    <xf numFmtId="166" fontId="2" fillId="0" borderId="8" xfId="3" applyNumberFormat="1" applyFont="1" applyBorder="1" applyAlignment="1">
      <alignment vertical="center" shrinkToFit="1"/>
    </xf>
    <xf numFmtId="166" fontId="2" fillId="0" borderId="7" xfId="3" applyNumberFormat="1" applyFont="1" applyBorder="1" applyAlignment="1">
      <alignment vertical="center" shrinkToFit="1"/>
    </xf>
    <xf numFmtId="167" fontId="2" fillId="0" borderId="6" xfId="3" applyNumberFormat="1" applyFont="1" applyBorder="1" applyAlignment="1">
      <alignment horizontal="center"/>
    </xf>
    <xf numFmtId="167" fontId="2" fillId="0" borderId="7" xfId="3" applyNumberFormat="1" applyFont="1" applyBorder="1" applyAlignment="1">
      <alignment horizontal="center"/>
    </xf>
    <xf numFmtId="0" fontId="3" fillId="0" borderId="5" xfId="3" applyFont="1" applyBorder="1" applyAlignment="1">
      <alignment vertical="center" shrinkToFit="1"/>
    </xf>
    <xf numFmtId="166" fontId="2" fillId="0" borderId="8" xfId="3" applyNumberFormat="1" applyFont="1" applyBorder="1" applyAlignment="1">
      <alignment horizontal="center"/>
    </xf>
    <xf numFmtId="166" fontId="2" fillId="0" borderId="6" xfId="3" applyNumberFormat="1" applyFont="1" applyBorder="1" applyAlignment="1">
      <alignment horizontal="center"/>
    </xf>
    <xf numFmtId="166" fontId="2" fillId="0" borderId="7" xfId="3" applyNumberFormat="1" applyFont="1" applyBorder="1" applyAlignment="1">
      <alignment horizontal="center"/>
    </xf>
    <xf numFmtId="166" fontId="2" fillId="0" borderId="14" xfId="3" applyNumberFormat="1" applyFont="1" applyBorder="1" applyAlignment="1">
      <alignment vertical="center" shrinkToFit="1"/>
    </xf>
    <xf numFmtId="166" fontId="2" fillId="0" borderId="15" xfId="3" applyNumberFormat="1" applyFont="1" applyBorder="1" applyAlignment="1">
      <alignment vertical="center" shrinkToFit="1"/>
    </xf>
    <xf numFmtId="167" fontId="2" fillId="0" borderId="0" xfId="3" applyNumberFormat="1" applyFont="1" applyAlignment="1">
      <alignment horizontal="center"/>
    </xf>
    <xf numFmtId="167" fontId="2" fillId="0" borderId="15" xfId="3" applyNumberFormat="1" applyFont="1" applyBorder="1" applyAlignment="1">
      <alignment horizontal="center"/>
    </xf>
    <xf numFmtId="0" fontId="3" fillId="0" borderId="4" xfId="3" applyFont="1" applyBorder="1" applyAlignment="1">
      <alignment vertical="center" shrinkToFit="1"/>
    </xf>
    <xf numFmtId="166" fontId="2" fillId="0" borderId="14" xfId="3" applyNumberFormat="1" applyFont="1" applyBorder="1" applyAlignment="1">
      <alignment horizontal="center"/>
    </xf>
    <xf numFmtId="166" fontId="2" fillId="0" borderId="0" xfId="3" applyNumberFormat="1" applyFont="1" applyAlignment="1">
      <alignment horizontal="center"/>
    </xf>
    <xf numFmtId="166" fontId="2" fillId="0" borderId="15" xfId="3" applyNumberFormat="1" applyFont="1" applyBorder="1" applyAlignment="1">
      <alignment horizontal="center"/>
    </xf>
    <xf numFmtId="166" fontId="2" fillId="0" borderId="13" xfId="3" applyNumberFormat="1" applyFont="1" applyBorder="1" applyAlignment="1">
      <alignment vertical="center" shrinkToFit="1"/>
    </xf>
    <xf numFmtId="166" fontId="2" fillId="0" borderId="12" xfId="3" applyNumberFormat="1" applyFont="1" applyBorder="1" applyAlignment="1">
      <alignment vertical="center" shrinkToFit="1"/>
    </xf>
    <xf numFmtId="166" fontId="2" fillId="0" borderId="11" xfId="3" applyNumberFormat="1" applyFont="1" applyBorder="1" applyAlignment="1">
      <alignment vertical="center" shrinkToFit="1"/>
    </xf>
    <xf numFmtId="166" fontId="2" fillId="0" borderId="13" xfId="3" applyNumberFormat="1" applyFont="1" applyBorder="1" applyAlignment="1">
      <alignment horizontal="center"/>
    </xf>
    <xf numFmtId="166" fontId="2" fillId="0" borderId="12" xfId="3" applyNumberFormat="1" applyFont="1" applyBorder="1" applyAlignment="1">
      <alignment horizontal="center"/>
    </xf>
    <xf numFmtId="166" fontId="2" fillId="0" borderId="11" xfId="3" applyNumberFormat="1" applyFont="1" applyBorder="1" applyAlignment="1">
      <alignment horizontal="center"/>
    </xf>
    <xf numFmtId="167" fontId="2" fillId="0" borderId="14" xfId="3" applyNumberFormat="1" applyFont="1" applyBorder="1" applyAlignment="1">
      <alignment horizontal="center"/>
    </xf>
    <xf numFmtId="0" fontId="3" fillId="0" borderId="10" xfId="3" applyFont="1" applyBorder="1" applyAlignment="1">
      <alignment vertical="center" shrinkToFit="1"/>
    </xf>
    <xf numFmtId="167" fontId="2" fillId="0" borderId="13" xfId="3" applyNumberFormat="1" applyFont="1" applyBorder="1" applyAlignment="1">
      <alignment horizontal="center"/>
    </xf>
    <xf numFmtId="167" fontId="2" fillId="0" borderId="12" xfId="3" applyNumberFormat="1" applyFont="1" applyBorder="1" applyAlignment="1">
      <alignment horizontal="center"/>
    </xf>
    <xf numFmtId="0" fontId="2" fillId="0" borderId="9" xfId="3" applyFont="1" applyBorder="1" applyAlignment="1">
      <alignment horizontal="center"/>
    </xf>
    <xf numFmtId="0" fontId="3" fillId="0" borderId="9" xfId="3" applyFont="1" applyBorder="1" applyAlignment="1">
      <alignment vertical="center" shrinkToFit="1"/>
    </xf>
    <xf numFmtId="0" fontId="3" fillId="0" borderId="1" xfId="3" applyFont="1" applyBorder="1" applyAlignment="1">
      <alignment horizontal="center" vertical="center" shrinkToFit="1"/>
    </xf>
    <xf numFmtId="0" fontId="3" fillId="0" borderId="10" xfId="3" applyFont="1" applyBorder="1" applyAlignment="1">
      <alignment horizontal="right" vertical="center" shrinkToFit="1"/>
    </xf>
    <xf numFmtId="0" fontId="3" fillId="0" borderId="9" xfId="3" applyFont="1" applyBorder="1" applyAlignment="1">
      <alignment horizontal="center" vertical="center" shrinkToFit="1"/>
    </xf>
    <xf numFmtId="0" fontId="3" fillId="0" borderId="8" xfId="3" applyFont="1" applyBorder="1" applyAlignment="1">
      <alignment horizontal="right" vertical="center" shrinkToFit="1"/>
    </xf>
    <xf numFmtId="0" fontId="3" fillId="0" borderId="14" xfId="3" applyFont="1" applyBorder="1" applyAlignment="1">
      <alignment horizontal="right" vertical="center" shrinkToFit="1"/>
    </xf>
    <xf numFmtId="166" fontId="2" fillId="0" borderId="5" xfId="3" applyNumberFormat="1" applyFont="1" applyBorder="1" applyAlignment="1">
      <alignment horizontal="right" vertical="center" shrinkToFit="1"/>
    </xf>
    <xf numFmtId="166" fontId="2" fillId="0" borderId="4" xfId="3" applyNumberFormat="1" applyFont="1" applyBorder="1" applyAlignment="1">
      <alignment horizontal="right" vertical="center" shrinkToFit="1"/>
    </xf>
    <xf numFmtId="0" fontId="3" fillId="0" borderId="10" xfId="3" applyFont="1" applyBorder="1" applyAlignment="1">
      <alignment horizontal="center" vertical="center" shrinkToFit="1"/>
    </xf>
    <xf numFmtId="166" fontId="2" fillId="0" borderId="9" xfId="3" applyNumberFormat="1" applyFont="1" applyBorder="1" applyAlignment="1">
      <alignment vertical="center" shrinkToFit="1"/>
    </xf>
    <xf numFmtId="166" fontId="2" fillId="0" borderId="9" xfId="3" applyNumberFormat="1" applyFont="1" applyBorder="1" applyAlignment="1">
      <alignment horizontal="right" vertical="center" shrinkToFit="1"/>
    </xf>
    <xf numFmtId="0" fontId="3" fillId="0" borderId="13" xfId="3" applyFont="1" applyBorder="1" applyAlignment="1">
      <alignment horizontal="right" vertical="center" shrinkToFit="1"/>
    </xf>
    <xf numFmtId="0" fontId="3" fillId="0" borderId="9" xfId="3" applyFont="1" applyBorder="1" applyAlignment="1">
      <alignment horizontal="center" vertical="center"/>
    </xf>
    <xf numFmtId="0" fontId="54" fillId="0" borderId="2" xfId="3" applyFont="1" applyBorder="1" applyAlignment="1">
      <alignment horizontal="center" vertical="center"/>
    </xf>
    <xf numFmtId="167" fontId="2" fillId="0" borderId="8" xfId="3" applyNumberFormat="1" applyFont="1" applyBorder="1" applyAlignment="1">
      <alignment vertical="center"/>
    </xf>
    <xf numFmtId="167" fontId="2" fillId="0" borderId="6" xfId="3" applyNumberFormat="1" applyFont="1" applyBorder="1" applyAlignment="1">
      <alignment vertical="center"/>
    </xf>
    <xf numFmtId="167" fontId="2" fillId="0" borderId="7" xfId="3" applyNumberFormat="1" applyFont="1" applyBorder="1" applyAlignment="1">
      <alignment vertical="center"/>
    </xf>
    <xf numFmtId="167" fontId="2" fillId="0" borderId="14" xfId="3" applyNumberFormat="1" applyFont="1" applyBorder="1" applyAlignment="1">
      <alignment vertical="center"/>
    </xf>
    <xf numFmtId="167" fontId="2" fillId="0" borderId="0" xfId="3" applyNumberFormat="1" applyFont="1" applyAlignment="1">
      <alignment vertical="center"/>
    </xf>
    <xf numFmtId="167" fontId="2" fillId="0" borderId="15" xfId="3" applyNumberFormat="1" applyFont="1" applyBorder="1" applyAlignment="1">
      <alignment vertical="center"/>
    </xf>
    <xf numFmtId="166" fontId="2" fillId="0" borderId="3" xfId="3" applyNumberFormat="1" applyFont="1" applyBorder="1" applyAlignment="1">
      <alignment horizontal="center"/>
    </xf>
    <xf numFmtId="166" fontId="2" fillId="0" borderId="2" xfId="3" applyNumberFormat="1" applyFont="1" applyBorder="1" applyAlignment="1">
      <alignment horizontal="center"/>
    </xf>
    <xf numFmtId="166" fontId="2" fillId="0" borderId="1" xfId="3" applyNumberFormat="1" applyFont="1" applyBorder="1" applyAlignment="1">
      <alignment horizontal="center"/>
    </xf>
    <xf numFmtId="0" fontId="3" fillId="0" borderId="3" xfId="3" applyFont="1" applyBorder="1" applyAlignment="1">
      <alignment horizontal="right" vertical="center" shrinkToFit="1"/>
    </xf>
    <xf numFmtId="167" fontId="2" fillId="0" borderId="13" xfId="3" applyNumberFormat="1" applyFont="1" applyBorder="1" applyAlignment="1">
      <alignment vertical="center"/>
    </xf>
    <xf numFmtId="167" fontId="2" fillId="0" borderId="12" xfId="3" applyNumberFormat="1" applyFont="1" applyBorder="1" applyAlignment="1">
      <alignment vertical="center"/>
    </xf>
    <xf numFmtId="167" fontId="2" fillId="0" borderId="11" xfId="3" applyNumberFormat="1" applyFont="1" applyBorder="1" applyAlignment="1">
      <alignment vertical="center"/>
    </xf>
    <xf numFmtId="166" fontId="2" fillId="0" borderId="3" xfId="3" applyNumberFormat="1" applyFont="1" applyBorder="1" applyAlignment="1">
      <alignment vertical="center" shrinkToFit="1"/>
    </xf>
    <xf numFmtId="166" fontId="2" fillId="0" borderId="1" xfId="3" applyNumberFormat="1" applyFont="1" applyBorder="1" applyAlignment="1">
      <alignment vertical="center" shrinkToFit="1"/>
    </xf>
    <xf numFmtId="166" fontId="2" fillId="0" borderId="2" xfId="3" applyNumberFormat="1" applyFont="1" applyBorder="1" applyAlignment="1">
      <alignment vertical="center" shrinkToFit="1"/>
    </xf>
    <xf numFmtId="0" fontId="3" fillId="0" borderId="13" xfId="3" applyFont="1" applyBorder="1" applyAlignment="1">
      <alignment horizontal="center" vertical="center" shrinkToFit="1"/>
    </xf>
    <xf numFmtId="0" fontId="3" fillId="0" borderId="12" xfId="3" applyFont="1" applyBorder="1" applyAlignment="1">
      <alignment horizontal="center" vertical="center" shrinkToFit="1"/>
    </xf>
    <xf numFmtId="0" fontId="3" fillId="0" borderId="11" xfId="3" applyFont="1" applyBorder="1" applyAlignment="1">
      <alignment horizontal="center" vertical="center" shrinkToFit="1"/>
    </xf>
    <xf numFmtId="0" fontId="3" fillId="0" borderId="0" xfId="3" applyFont="1" applyAlignment="1">
      <alignment vertical="center" shrinkToFit="1"/>
    </xf>
    <xf numFmtId="166" fontId="2" fillId="0" borderId="8" xfId="3" applyNumberFormat="1" applyFont="1" applyBorder="1" applyAlignment="1">
      <alignment horizontal="right" vertical="center" shrinkToFit="1"/>
    </xf>
    <xf numFmtId="0" fontId="2" fillId="0" borderId="7" xfId="3" applyFont="1" applyBorder="1" applyAlignment="1">
      <alignment horizontal="center" vertical="center" shrinkToFit="1"/>
    </xf>
    <xf numFmtId="166" fontId="2" fillId="0" borderId="14" xfId="3" applyNumberFormat="1" applyFont="1" applyBorder="1" applyAlignment="1">
      <alignment horizontal="right" vertical="center" shrinkToFit="1"/>
    </xf>
    <xf numFmtId="0" fontId="2" fillId="0" borderId="15" xfId="3" applyFont="1" applyBorder="1" applyAlignment="1">
      <alignment horizontal="center" vertical="center" shrinkToFit="1"/>
    </xf>
    <xf numFmtId="166" fontId="2" fillId="0" borderId="14" xfId="3" applyNumberFormat="1" applyFont="1" applyBorder="1" applyAlignment="1">
      <alignment horizontal="right" vertical="center"/>
    </xf>
    <xf numFmtId="166" fontId="2" fillId="0" borderId="14" xfId="0" applyNumberFormat="1" applyFont="1" applyBorder="1" applyAlignment="1">
      <alignment horizontal="right"/>
    </xf>
    <xf numFmtId="0" fontId="2" fillId="0" borderId="11" xfId="3" applyFont="1" applyBorder="1" applyAlignment="1">
      <alignment horizontal="center" vertical="center" shrinkToFit="1"/>
    </xf>
    <xf numFmtId="166" fontId="3" fillId="0" borderId="3" xfId="0" applyNumberFormat="1" applyFont="1" applyBorder="1" applyAlignment="1">
      <alignment horizontal="center"/>
    </xf>
    <xf numFmtId="0" fontId="3" fillId="0" borderId="2" xfId="3" applyFont="1" applyBorder="1" applyAlignment="1">
      <alignment horizontal="center" vertical="center"/>
    </xf>
    <xf numFmtId="0" fontId="2" fillId="0" borderId="9" xfId="3" applyFont="1" applyBorder="1" applyAlignment="1">
      <alignment horizontal="center" vertical="center" shrinkToFit="1"/>
    </xf>
    <xf numFmtId="0" fontId="2" fillId="0" borderId="4" xfId="3" applyFont="1" applyBorder="1" applyAlignment="1">
      <alignment horizontal="center" vertical="center" shrinkToFit="1"/>
    </xf>
    <xf numFmtId="0" fontId="2" fillId="0" borderId="5" xfId="3" applyFont="1" applyBorder="1" applyAlignment="1">
      <alignment horizontal="center" vertical="center" shrinkToFit="1"/>
    </xf>
    <xf numFmtId="167" fontId="2" fillId="0" borderId="6" xfId="0" applyNumberFormat="1" applyFont="1" applyBorder="1"/>
    <xf numFmtId="2" fontId="0" fillId="0" borderId="0" xfId="0" applyNumberFormat="1"/>
    <xf numFmtId="166" fontId="0" fillId="0" borderId="0" xfId="0" applyNumberFormat="1"/>
    <xf numFmtId="2" fontId="2" fillId="0" borderId="9" xfId="0" applyNumberFormat="1" applyFont="1" applyBorder="1"/>
    <xf numFmtId="0" fontId="8" fillId="2" borderId="9" xfId="0" applyFont="1" applyFill="1" applyBorder="1" applyAlignment="1">
      <alignment horizontal="center"/>
    </xf>
    <xf numFmtId="2" fontId="2" fillId="0" borderId="15" xfId="0" applyNumberFormat="1" applyFont="1" applyBorder="1"/>
    <xf numFmtId="2" fontId="2" fillId="0" borderId="14" xfId="0" applyNumberFormat="1" applyFont="1" applyBorder="1"/>
    <xf numFmtId="0" fontId="3" fillId="2" borderId="22" xfId="0" applyFont="1" applyFill="1" applyBorder="1" applyAlignment="1">
      <alignment horizontal="center"/>
    </xf>
    <xf numFmtId="0" fontId="22" fillId="2" borderId="3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horizontal="center"/>
    </xf>
    <xf numFmtId="1" fontId="2" fillId="0" borderId="12" xfId="0" applyNumberFormat="1" applyFont="1" applyBorder="1"/>
    <xf numFmtId="10" fontId="2" fillId="0" borderId="6" xfId="0" applyNumberFormat="1" applyFont="1" applyBorder="1" applyAlignment="1">
      <alignment shrinkToFit="1"/>
    </xf>
    <xf numFmtId="10" fontId="2" fillId="0" borderId="12" xfId="0" applyNumberFormat="1" applyFont="1" applyBorder="1" applyAlignment="1">
      <alignment shrinkToFit="1"/>
    </xf>
    <xf numFmtId="10" fontId="2" fillId="0" borderId="0" xfId="0" applyNumberFormat="1" applyFont="1" applyAlignment="1">
      <alignment shrinkToFit="1"/>
    </xf>
    <xf numFmtId="0" fontId="48" fillId="0" borderId="4" xfId="0" applyFont="1" applyBorder="1" applyAlignment="1">
      <alignment horizontal="center"/>
    </xf>
    <xf numFmtId="0" fontId="48" fillId="0" borderId="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166" fontId="9" fillId="0" borderId="5" xfId="0" applyNumberFormat="1" applyFont="1" applyBorder="1" applyAlignment="1">
      <alignment horizontal="center"/>
    </xf>
    <xf numFmtId="0" fontId="48" fillId="0" borderId="5" xfId="0" applyFont="1" applyBorder="1" applyAlignment="1">
      <alignment horizontal="center"/>
    </xf>
    <xf numFmtId="166" fontId="9" fillId="0" borderId="4" xfId="0" applyNumberFormat="1" applyFont="1" applyBorder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48" fillId="2" borderId="8" xfId="0" applyFont="1" applyFill="1" applyBorder="1" applyAlignment="1">
      <alignment horizontal="center"/>
    </xf>
    <xf numFmtId="0" fontId="48" fillId="2" borderId="6" xfId="0" applyFont="1" applyFill="1" applyBorder="1" applyAlignment="1">
      <alignment horizontal="center" vertical="center" wrapText="1"/>
    </xf>
    <xf numFmtId="0" fontId="48" fillId="2" borderId="3" xfId="0" applyFont="1" applyFill="1" applyBorder="1" applyAlignment="1">
      <alignment horizontal="center" vertical="center" wrapText="1"/>
    </xf>
    <xf numFmtId="0" fontId="48" fillId="2" borderId="1" xfId="0" applyFont="1" applyFill="1" applyBorder="1" applyAlignment="1">
      <alignment horizontal="center" vertical="center" wrapText="1"/>
    </xf>
    <xf numFmtId="0" fontId="48" fillId="2" borderId="3" xfId="0" applyFont="1" applyFill="1" applyBorder="1" applyAlignment="1">
      <alignment horizontal="center"/>
    </xf>
    <xf numFmtId="0" fontId="48" fillId="2" borderId="0" xfId="0" applyFont="1" applyFill="1" applyAlignment="1">
      <alignment horizontal="center" vertical="center" wrapText="1"/>
    </xf>
    <xf numFmtId="2" fontId="0" fillId="0" borderId="6" xfId="0" applyNumberFormat="1" applyBorder="1"/>
    <xf numFmtId="2" fontId="0" fillId="0" borderId="5" xfId="0" applyNumberFormat="1" applyBorder="1"/>
    <xf numFmtId="0" fontId="0" fillId="0" borderId="6" xfId="0" applyBorder="1"/>
    <xf numFmtId="0" fontId="47" fillId="0" borderId="5" xfId="0" applyFont="1" applyBorder="1" applyAlignment="1">
      <alignment horizontal="center" vertical="center" wrapText="1"/>
    </xf>
    <xf numFmtId="2" fontId="0" fillId="0" borderId="4" xfId="0" applyNumberFormat="1" applyBorder="1"/>
    <xf numFmtId="2" fontId="0" fillId="0" borderId="10" xfId="0" applyNumberFormat="1" applyBorder="1"/>
    <xf numFmtId="0" fontId="0" fillId="0" borderId="12" xfId="0" applyBorder="1"/>
    <xf numFmtId="0" fontId="5" fillId="0" borderId="1" xfId="0" applyFont="1" applyBorder="1" applyAlignment="1">
      <alignment horizontal="center"/>
    </xf>
    <xf numFmtId="2" fontId="0" fillId="0" borderId="8" xfId="0" applyNumberFormat="1" applyBorder="1"/>
    <xf numFmtId="164" fontId="47" fillId="0" borderId="6" xfId="0" applyNumberFormat="1" applyFont="1" applyBorder="1" applyAlignment="1">
      <alignment horizontal="right" vertical="center" wrapText="1"/>
    </xf>
    <xf numFmtId="164" fontId="47" fillId="0" borderId="7" xfId="0" applyNumberFormat="1" applyFont="1" applyBorder="1" applyAlignment="1">
      <alignment horizontal="right" vertical="center" wrapText="1"/>
    </xf>
    <xf numFmtId="164" fontId="47" fillId="0" borderId="8" xfId="0" applyNumberFormat="1" applyFont="1" applyBorder="1" applyAlignment="1">
      <alignment horizontal="right" vertical="center" wrapText="1"/>
    </xf>
    <xf numFmtId="2" fontId="0" fillId="0" borderId="14" xfId="0" applyNumberFormat="1" applyBorder="1"/>
    <xf numFmtId="164" fontId="47" fillId="0" borderId="0" xfId="0" applyNumberFormat="1" applyFont="1" applyAlignment="1">
      <alignment horizontal="right" vertical="center" wrapText="1"/>
    </xf>
    <xf numFmtId="164" fontId="47" fillId="0" borderId="15" xfId="0" applyNumberFormat="1" applyFont="1" applyBorder="1" applyAlignment="1">
      <alignment horizontal="right" vertical="center" wrapText="1"/>
    </xf>
    <xf numFmtId="0" fontId="0" fillId="0" borderId="4" xfId="0" applyBorder="1"/>
    <xf numFmtId="164" fontId="47" fillId="0" borderId="14" xfId="0" applyNumberFormat="1" applyFont="1" applyBorder="1" applyAlignment="1">
      <alignment horizontal="right" vertical="center" wrapText="1"/>
    </xf>
    <xf numFmtId="2" fontId="0" fillId="0" borderId="13" xfId="0" applyNumberFormat="1" applyBorder="1"/>
    <xf numFmtId="0" fontId="0" fillId="0" borderId="10" xfId="0" applyBorder="1"/>
    <xf numFmtId="0" fontId="48" fillId="2" borderId="2" xfId="0" applyFont="1" applyFill="1" applyBorder="1" applyAlignment="1">
      <alignment horizontal="center"/>
    </xf>
    <xf numFmtId="0" fontId="47" fillId="0" borderId="14" xfId="0" applyFont="1" applyBorder="1" applyAlignment="1">
      <alignment horizontal="center" vertical="center" wrapText="1"/>
    </xf>
    <xf numFmtId="164" fontId="47" fillId="0" borderId="13" xfId="0" applyNumberFormat="1" applyFont="1" applyBorder="1" applyAlignment="1">
      <alignment horizontal="right" vertical="center" wrapText="1"/>
    </xf>
    <xf numFmtId="164" fontId="47" fillId="0" borderId="12" xfId="0" applyNumberFormat="1" applyFont="1" applyBorder="1" applyAlignment="1">
      <alignment horizontal="right" vertical="center" wrapText="1"/>
    </xf>
    <xf numFmtId="164" fontId="47" fillId="0" borderId="11" xfId="0" applyNumberFormat="1" applyFont="1" applyBorder="1" applyAlignment="1">
      <alignment horizontal="right" vertical="center" wrapText="1"/>
    </xf>
    <xf numFmtId="0" fontId="48" fillId="2" borderId="9" xfId="0" applyFont="1" applyFill="1" applyBorder="1" applyAlignment="1">
      <alignment horizontal="center" vertical="center" wrapText="1"/>
    </xf>
    <xf numFmtId="166" fontId="3" fillId="0" borderId="7" xfId="0" applyNumberFormat="1" applyFont="1" applyBorder="1" applyAlignment="1">
      <alignment horizontal="center"/>
    </xf>
    <xf numFmtId="166" fontId="3" fillId="0" borderId="15" xfId="0" applyNumberFormat="1" applyFont="1" applyBorder="1" applyAlignment="1">
      <alignment horizontal="center"/>
    </xf>
    <xf numFmtId="166" fontId="8" fillId="0" borderId="3" xfId="0" applyNumberFormat="1" applyFont="1" applyBorder="1" applyAlignment="1">
      <alignment horizontal="center"/>
    </xf>
    <xf numFmtId="166" fontId="8" fillId="0" borderId="2" xfId="0" applyNumberFormat="1" applyFont="1" applyBorder="1" applyAlignment="1">
      <alignment horizontal="center"/>
    </xf>
    <xf numFmtId="166" fontId="3" fillId="0" borderId="2" xfId="0" applyNumberFormat="1" applyFont="1" applyBorder="1" applyAlignment="1">
      <alignment horizontal="center"/>
    </xf>
    <xf numFmtId="166" fontId="3" fillId="0" borderId="1" xfId="0" applyNumberFormat="1" applyFont="1" applyBorder="1" applyAlignment="1">
      <alignment horizontal="center"/>
    </xf>
    <xf numFmtId="166" fontId="3" fillId="0" borderId="9" xfId="0" applyNumberFormat="1" applyFont="1" applyBorder="1" applyAlignment="1">
      <alignment horizontal="center"/>
    </xf>
    <xf numFmtId="166" fontId="3" fillId="0" borderId="13" xfId="0" applyNumberFormat="1" applyFont="1" applyBorder="1" applyAlignment="1">
      <alignment horizontal="center"/>
    </xf>
    <xf numFmtId="166" fontId="2" fillId="0" borderId="6" xfId="0" applyNumberFormat="1" applyFont="1" applyBorder="1" applyAlignment="1">
      <alignment shrinkToFit="1"/>
    </xf>
    <xf numFmtId="166" fontId="2" fillId="0" borderId="7" xfId="0" applyNumberFormat="1" applyFont="1" applyBorder="1" applyAlignment="1">
      <alignment shrinkToFit="1"/>
    </xf>
    <xf numFmtId="166" fontId="3" fillId="0" borderId="5" xfId="0" applyNumberFormat="1" applyFont="1" applyBorder="1" applyAlignment="1">
      <alignment horizontal="center"/>
    </xf>
    <xf numFmtId="166" fontId="3" fillId="0" borderId="4" xfId="0" applyNumberFormat="1" applyFont="1" applyBorder="1" applyAlignment="1">
      <alignment horizontal="center"/>
    </xf>
    <xf numFmtId="166" fontId="3" fillId="0" borderId="10" xfId="0" applyNumberFormat="1" applyFont="1" applyBorder="1" applyAlignment="1">
      <alignment horizontal="center"/>
    </xf>
    <xf numFmtId="166" fontId="3" fillId="0" borderId="12" xfId="0" applyNumberFormat="1" applyFont="1" applyBorder="1" applyAlignment="1">
      <alignment horizontal="center"/>
    </xf>
    <xf numFmtId="166" fontId="3" fillId="0" borderId="11" xfId="0" applyNumberFormat="1" applyFont="1" applyBorder="1" applyAlignment="1">
      <alignment horizontal="center"/>
    </xf>
    <xf numFmtId="166" fontId="3" fillId="0" borderId="9" xfId="0" applyNumberFormat="1" applyFont="1" applyBorder="1" applyAlignment="1">
      <alignment horizontal="center" vertical="center"/>
    </xf>
    <xf numFmtId="166" fontId="8" fillId="0" borderId="1" xfId="0" applyNumberFormat="1" applyFont="1" applyBorder="1" applyAlignment="1">
      <alignment horizontal="center"/>
    </xf>
    <xf numFmtId="166" fontId="3" fillId="0" borderId="0" xfId="0" applyNumberFormat="1" applyFont="1" applyAlignment="1">
      <alignment shrinkToFit="1"/>
    </xf>
    <xf numFmtId="166" fontId="3" fillId="0" borderId="6" xfId="0" applyNumberFormat="1" applyFont="1" applyBorder="1" applyAlignment="1">
      <alignment horizontal="center"/>
    </xf>
    <xf numFmtId="166" fontId="3" fillId="0" borderId="0" xfId="0" applyNumberFormat="1" applyFont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shrinkToFit="1"/>
    </xf>
    <xf numFmtId="164" fontId="2" fillId="0" borderId="0" xfId="0" applyNumberFormat="1" applyFont="1" applyAlignment="1">
      <alignment vertical="center"/>
    </xf>
    <xf numFmtId="2" fontId="2" fillId="0" borderId="0" xfId="0" applyNumberFormat="1" applyFont="1" applyAlignment="1">
      <alignment vertical="center"/>
    </xf>
    <xf numFmtId="2" fontId="2" fillId="0" borderId="12" xfId="0" applyNumberFormat="1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166" fontId="2" fillId="0" borderId="7" xfId="0" applyNumberFormat="1" applyFont="1" applyBorder="1" applyAlignment="1">
      <alignment vertical="center"/>
    </xf>
    <xf numFmtId="0" fontId="2" fillId="0" borderId="7" xfId="0" applyFont="1" applyBorder="1" applyAlignment="1">
      <alignment vertical="center"/>
    </xf>
    <xf numFmtId="164" fontId="2" fillId="0" borderId="5" xfId="0" applyNumberFormat="1" applyFont="1" applyBorder="1" applyAlignment="1">
      <alignment vertical="center"/>
    </xf>
    <xf numFmtId="2" fontId="2" fillId="0" borderId="8" xfId="0" applyNumberFormat="1" applyFont="1" applyBorder="1" applyAlignment="1">
      <alignment vertical="center"/>
    </xf>
    <xf numFmtId="164" fontId="2" fillId="0" borderId="7" xfId="0" applyNumberFormat="1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166" fontId="2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164" fontId="2" fillId="0" borderId="4" xfId="0" applyNumberFormat="1" applyFont="1" applyBorder="1" applyAlignment="1">
      <alignment vertical="center"/>
    </xf>
    <xf numFmtId="2" fontId="2" fillId="0" borderId="14" xfId="0" applyNumberFormat="1" applyFont="1" applyBorder="1" applyAlignment="1">
      <alignment vertical="center"/>
    </xf>
    <xf numFmtId="164" fontId="2" fillId="0" borderId="15" xfId="0" applyNumberFormat="1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2" fontId="2" fillId="0" borderId="5" xfId="0" applyNumberFormat="1" applyFont="1" applyBorder="1" applyAlignment="1">
      <alignment vertical="center"/>
    </xf>
    <xf numFmtId="2" fontId="2" fillId="0" borderId="4" xfId="0" applyNumberFormat="1" applyFont="1" applyBorder="1" applyAlignment="1">
      <alignment vertical="center"/>
    </xf>
    <xf numFmtId="168" fontId="2" fillId="0" borderId="0" xfId="0" applyNumberFormat="1" applyFont="1" applyAlignment="1">
      <alignment vertical="center"/>
    </xf>
    <xf numFmtId="165" fontId="2" fillId="0" borderId="0" xfId="0" applyNumberFormat="1" applyFont="1" applyAlignment="1">
      <alignment vertical="center"/>
    </xf>
    <xf numFmtId="0" fontId="2" fillId="0" borderId="10" xfId="0" applyFont="1" applyBorder="1" applyAlignment="1">
      <alignment vertical="center"/>
    </xf>
    <xf numFmtId="2" fontId="2" fillId="0" borderId="10" xfId="0" applyNumberFormat="1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168" fontId="2" fillId="0" borderId="10" xfId="0" applyNumberFormat="1" applyFont="1" applyBorder="1" applyAlignment="1">
      <alignment vertical="center"/>
    </xf>
    <xf numFmtId="3" fontId="2" fillId="0" borderId="15" xfId="0" applyNumberFormat="1" applyFont="1" applyBorder="1" applyAlignment="1">
      <alignment horizontal="right" vertical="center" shrinkToFit="1"/>
    </xf>
    <xf numFmtId="0" fontId="3" fillId="0" borderId="0" xfId="0" applyFont="1" applyAlignment="1">
      <alignment horizontal="center" vertical="center"/>
    </xf>
    <xf numFmtId="0" fontId="2" fillId="0" borderId="13" xfId="0" applyFont="1" applyBorder="1" applyAlignment="1">
      <alignment vertical="center"/>
    </xf>
    <xf numFmtId="3" fontId="2" fillId="0" borderId="7" xfId="0" applyNumberFormat="1" applyFont="1" applyBorder="1" applyAlignment="1">
      <alignment horizontal="right" vertical="center" shrinkToFit="1"/>
    </xf>
    <xf numFmtId="0" fontId="3" fillId="0" borderId="6" xfId="0" applyFont="1" applyBorder="1" applyAlignment="1">
      <alignment horizontal="center" vertical="center"/>
    </xf>
    <xf numFmtId="3" fontId="2" fillId="0" borderId="11" xfId="0" applyNumberFormat="1" applyFont="1" applyBorder="1" applyAlignment="1">
      <alignment vertical="center"/>
    </xf>
    <xf numFmtId="168" fontId="2" fillId="0" borderId="13" xfId="0" applyNumberFormat="1" applyFont="1" applyBorder="1" applyAlignment="1">
      <alignment vertical="center"/>
    </xf>
    <xf numFmtId="3" fontId="2" fillId="0" borderId="11" xfId="0" applyNumberFormat="1" applyFont="1" applyBorder="1" applyAlignment="1">
      <alignment horizontal="right" vertical="center"/>
    </xf>
    <xf numFmtId="0" fontId="3" fillId="0" borderId="11" xfId="0" applyFont="1" applyBorder="1" applyAlignment="1">
      <alignment horizontal="center" vertical="center"/>
    </xf>
    <xf numFmtId="3" fontId="2" fillId="0" borderId="7" xfId="0" applyNumberFormat="1" applyFont="1" applyBorder="1" applyAlignment="1">
      <alignment vertical="center"/>
    </xf>
    <xf numFmtId="168" fontId="2" fillId="0" borderId="8" xfId="0" applyNumberFormat="1" applyFont="1" applyBorder="1" applyAlignment="1">
      <alignment vertical="center"/>
    </xf>
    <xf numFmtId="3" fontId="2" fillId="0" borderId="7" xfId="0" applyNumberFormat="1" applyFont="1" applyBorder="1" applyAlignment="1">
      <alignment vertical="center" shrinkToFit="1"/>
    </xf>
    <xf numFmtId="165" fontId="2" fillId="0" borderId="6" xfId="0" applyNumberFormat="1" applyFont="1" applyBorder="1" applyAlignment="1">
      <alignment vertical="center"/>
    </xf>
    <xf numFmtId="2" fontId="2" fillId="0" borderId="6" xfId="0" applyNumberFormat="1" applyFont="1" applyBorder="1" applyAlignment="1">
      <alignment vertical="center"/>
    </xf>
    <xf numFmtId="3" fontId="2" fillId="0" borderId="15" xfId="0" applyNumberFormat="1" applyFont="1" applyBorder="1" applyAlignment="1">
      <alignment vertical="center"/>
    </xf>
    <xf numFmtId="168" fontId="2" fillId="0" borderId="14" xfId="0" applyNumberFormat="1" applyFont="1" applyBorder="1" applyAlignment="1">
      <alignment vertical="center"/>
    </xf>
    <xf numFmtId="3" fontId="2" fillId="0" borderId="15" xfId="0" applyNumberFormat="1" applyFont="1" applyBorder="1" applyAlignment="1">
      <alignment vertical="center" shrinkToFit="1"/>
    </xf>
    <xf numFmtId="0" fontId="8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shrinkToFit="1"/>
    </xf>
    <xf numFmtId="0" fontId="2" fillId="0" borderId="6" xfId="0" applyFont="1" applyBorder="1" applyAlignment="1">
      <alignment vertical="center" shrinkToFit="1"/>
    </xf>
    <xf numFmtId="0" fontId="2" fillId="0" borderId="14" xfId="0" applyFont="1" applyBorder="1" applyAlignment="1">
      <alignment horizontal="center" vertical="center"/>
    </xf>
    <xf numFmtId="2" fontId="2" fillId="4" borderId="9" xfId="0" applyNumberFormat="1" applyFont="1" applyFill="1" applyBorder="1" applyAlignment="1">
      <alignment vertical="center"/>
    </xf>
    <xf numFmtId="3" fontId="2" fillId="0" borderId="0" xfId="0" applyNumberFormat="1" applyFont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166" fontId="2" fillId="0" borderId="11" xfId="0" applyNumberFormat="1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164" fontId="2" fillId="0" borderId="10" xfId="0" applyNumberFormat="1" applyFont="1" applyBorder="1" applyAlignment="1">
      <alignment vertical="center"/>
    </xf>
    <xf numFmtId="166" fontId="3" fillId="0" borderId="2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3" fillId="0" borderId="12" xfId="0" applyNumberFormat="1" applyFont="1" applyBorder="1" applyAlignment="1">
      <alignment horizontal="center" vertical="center"/>
    </xf>
    <xf numFmtId="166" fontId="3" fillId="0" borderId="11" xfId="0" applyNumberFormat="1" applyFont="1" applyBorder="1" applyAlignment="1">
      <alignment horizontal="center" vertical="center"/>
    </xf>
    <xf numFmtId="166" fontId="3" fillId="0" borderId="13" xfId="0" applyNumberFormat="1" applyFont="1" applyBorder="1" applyAlignment="1">
      <alignment horizontal="center" vertical="center"/>
    </xf>
    <xf numFmtId="166" fontId="3" fillId="0" borderId="12" xfId="0" applyNumberFormat="1" applyFont="1" applyBorder="1" applyAlignment="1">
      <alignment horizontal="center" vertical="center" shrinkToFit="1"/>
    </xf>
    <xf numFmtId="166" fontId="3" fillId="0" borderId="3" xfId="0" applyNumberFormat="1" applyFont="1" applyBorder="1" applyAlignment="1">
      <alignment horizontal="center" vertical="center"/>
    </xf>
    <xf numFmtId="164" fontId="45" fillId="0" borderId="3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59" fillId="0" borderId="7" xfId="0" applyFont="1" applyBorder="1" applyAlignment="1">
      <alignment horizontal="center"/>
    </xf>
    <xf numFmtId="0" fontId="59" fillId="0" borderId="15" xfId="0" applyFont="1" applyBorder="1" applyAlignment="1">
      <alignment horizontal="center"/>
    </xf>
    <xf numFmtId="0" fontId="59" fillId="0" borderId="11" xfId="0" applyFont="1" applyBorder="1" applyAlignment="1">
      <alignment horizontal="center"/>
    </xf>
    <xf numFmtId="0" fontId="60" fillId="0" borderId="1" xfId="3" applyFont="1" applyBorder="1" applyAlignment="1">
      <alignment horizontal="center"/>
    </xf>
    <xf numFmtId="0" fontId="0" fillId="0" borderId="22" xfId="0" applyBorder="1"/>
    <xf numFmtId="0" fontId="0" fillId="0" borderId="23" xfId="0" applyBorder="1"/>
    <xf numFmtId="0" fontId="61" fillId="0" borderId="23" xfId="0" applyFont="1" applyBorder="1"/>
    <xf numFmtId="0" fontId="62" fillId="0" borderId="0" xfId="4"/>
    <xf numFmtId="0" fontId="0" fillId="0" borderId="0" xfId="0" quotePrefix="1"/>
    <xf numFmtId="0" fontId="11" fillId="2" borderId="8" xfId="1" applyFill="1" applyBorder="1" applyAlignment="1">
      <alignment horizontal="center"/>
    </xf>
    <xf numFmtId="0" fontId="64" fillId="0" borderId="11" xfId="5" applyFont="1" applyBorder="1" applyAlignment="1">
      <alignment horizontal="center" vertical="center"/>
    </xf>
    <xf numFmtId="166" fontId="64" fillId="0" borderId="1" xfId="5" applyNumberFormat="1" applyFont="1" applyBorder="1" applyAlignment="1">
      <alignment horizontal="center" vertical="center"/>
    </xf>
    <xf numFmtId="0" fontId="64" fillId="0" borderId="2" xfId="5" applyFont="1" applyBorder="1" applyAlignment="1">
      <alignment horizontal="center" vertical="center"/>
    </xf>
    <xf numFmtId="0" fontId="64" fillId="0" borderId="9" xfId="5" applyFont="1" applyBorder="1" applyAlignment="1">
      <alignment horizontal="center" vertical="center"/>
    </xf>
    <xf numFmtId="0" fontId="64" fillId="0" borderId="1" xfId="5" applyFont="1" applyBorder="1" applyAlignment="1">
      <alignment horizontal="center" vertical="center"/>
    </xf>
    <xf numFmtId="0" fontId="64" fillId="0" borderId="9" xfId="5" applyFont="1" applyBorder="1" applyAlignment="1">
      <alignment horizontal="center" vertical="center" shrinkToFit="1"/>
    </xf>
    <xf numFmtId="0" fontId="63" fillId="0" borderId="0" xfId="5"/>
    <xf numFmtId="0" fontId="64" fillId="0" borderId="1" xfId="5" quotePrefix="1" applyFont="1" applyBorder="1" applyAlignment="1">
      <alignment horizontal="center" vertical="center"/>
    </xf>
    <xf numFmtId="167" fontId="63" fillId="0" borderId="1" xfId="5" quotePrefix="1" applyNumberFormat="1" applyBorder="1" applyAlignment="1">
      <alignment horizontal="right" vertical="center" shrinkToFit="1"/>
    </xf>
    <xf numFmtId="167" fontId="63" fillId="0" borderId="15" xfId="5" applyNumberFormat="1" applyBorder="1" applyAlignment="1">
      <alignment horizontal="right" vertical="center" shrinkToFit="1"/>
    </xf>
    <xf numFmtId="167" fontId="63" fillId="0" borderId="1" xfId="5" applyNumberFormat="1" applyBorder="1" applyAlignment="1">
      <alignment horizontal="right" vertical="center" shrinkToFit="1"/>
    </xf>
    <xf numFmtId="167" fontId="63" fillId="0" borderId="7" xfId="5" applyNumberFormat="1" applyBorder="1" applyAlignment="1">
      <alignment horizontal="right" vertical="center" shrinkToFit="1"/>
    </xf>
    <xf numFmtId="167" fontId="63" fillId="0" borderId="2" xfId="5" quotePrefix="1" applyNumberFormat="1" applyBorder="1" applyAlignment="1">
      <alignment horizontal="right" vertical="center" shrinkToFit="1"/>
    </xf>
    <xf numFmtId="167" fontId="63" fillId="0" borderId="0" xfId="5" applyNumberFormat="1" applyAlignment="1">
      <alignment horizontal="right" vertical="center" shrinkToFit="1"/>
    </xf>
    <xf numFmtId="167" fontId="63" fillId="0" borderId="2" xfId="5" applyNumberFormat="1" applyBorder="1" applyAlignment="1">
      <alignment horizontal="right" vertical="center" shrinkToFit="1"/>
    </xf>
    <xf numFmtId="167" fontId="63" fillId="0" borderId="6" xfId="5" applyNumberFormat="1" applyBorder="1" applyAlignment="1">
      <alignment horizontal="right" vertical="center" shrinkToFit="1"/>
    </xf>
    <xf numFmtId="166" fontId="63" fillId="0" borderId="9" xfId="5" quotePrefix="1" applyNumberFormat="1" applyBorder="1" applyAlignment="1">
      <alignment horizontal="right" vertical="center" shrinkToFit="1"/>
    </xf>
    <xf numFmtId="167" fontId="63" fillId="0" borderId="1" xfId="5" quotePrefix="1" applyNumberFormat="1" applyBorder="1" applyAlignment="1">
      <alignment horizontal="center" vertical="center" shrinkToFit="1"/>
    </xf>
    <xf numFmtId="167" fontId="63" fillId="0" borderId="9" xfId="5" quotePrefix="1" applyNumberFormat="1" applyBorder="1" applyAlignment="1">
      <alignment horizontal="center" vertical="center" shrinkToFit="1"/>
    </xf>
    <xf numFmtId="0" fontId="64" fillId="0" borderId="15" xfId="5" applyFont="1" applyBorder="1" applyAlignment="1">
      <alignment horizontal="center" vertical="center"/>
    </xf>
    <xf numFmtId="166" fontId="63" fillId="0" borderId="4" xfId="5" applyNumberFormat="1" applyBorder="1" applyAlignment="1">
      <alignment horizontal="right" vertical="center" shrinkToFit="1"/>
    </xf>
    <xf numFmtId="167" fontId="63" fillId="0" borderId="15" xfId="5" applyNumberFormat="1" applyBorder="1" applyAlignment="1">
      <alignment horizontal="center" vertical="center" shrinkToFit="1"/>
    </xf>
    <xf numFmtId="167" fontId="63" fillId="0" borderId="4" xfId="5" applyNumberFormat="1" applyBorder="1" applyAlignment="1">
      <alignment horizontal="center" vertical="center" shrinkToFit="1"/>
    </xf>
    <xf numFmtId="166" fontId="63" fillId="0" borderId="9" xfId="5" applyNumberFormat="1" applyBorder="1" applyAlignment="1">
      <alignment horizontal="right" vertical="center" shrinkToFit="1"/>
    </xf>
    <xf numFmtId="167" fontId="63" fillId="0" borderId="1" xfId="5" applyNumberFormat="1" applyBorder="1" applyAlignment="1">
      <alignment horizontal="center" vertical="center" shrinkToFit="1"/>
    </xf>
    <xf numFmtId="167" fontId="63" fillId="0" borderId="9" xfId="5" applyNumberFormat="1" applyBorder="1" applyAlignment="1">
      <alignment horizontal="center" vertical="center" shrinkToFit="1"/>
    </xf>
    <xf numFmtId="0" fontId="64" fillId="0" borderId="7" xfId="5" applyFont="1" applyBorder="1" applyAlignment="1">
      <alignment horizontal="center" vertical="center"/>
    </xf>
    <xf numFmtId="166" fontId="63" fillId="0" borderId="5" xfId="5" applyNumberFormat="1" applyBorder="1" applyAlignment="1">
      <alignment horizontal="right" vertical="center" shrinkToFit="1"/>
    </xf>
    <xf numFmtId="167" fontId="63" fillId="0" borderId="7" xfId="5" applyNumberFormat="1" applyBorder="1" applyAlignment="1">
      <alignment horizontal="center" vertical="center" shrinkToFit="1"/>
    </xf>
    <xf numFmtId="167" fontId="63" fillId="0" borderId="5" xfId="5" applyNumberFormat="1" applyBorder="1" applyAlignment="1">
      <alignment horizontal="center" vertical="center" shrinkToFit="1"/>
    </xf>
    <xf numFmtId="0" fontId="64" fillId="0" borderId="3" xfId="5" applyFont="1" applyBorder="1" applyAlignment="1">
      <alignment horizontal="center" vertical="center"/>
    </xf>
    <xf numFmtId="0" fontId="63" fillId="3" borderId="2" xfId="5" applyFill="1" applyBorder="1" applyAlignment="1">
      <alignment vertical="center"/>
    </xf>
    <xf numFmtId="0" fontId="63" fillId="3" borderId="3" xfId="5" applyFill="1" applyBorder="1" applyAlignment="1">
      <alignment vertical="center"/>
    </xf>
    <xf numFmtId="0" fontId="63" fillId="0" borderId="0" xfId="5" applyAlignment="1">
      <alignment vertical="center"/>
    </xf>
    <xf numFmtId="0" fontId="66" fillId="3" borderId="1" xfId="5" applyFont="1" applyFill="1" applyBorder="1" applyAlignment="1">
      <alignment horizontal="center" vertical="center" wrapText="1"/>
    </xf>
    <xf numFmtId="0" fontId="66" fillId="3" borderId="3" xfId="5" applyFont="1" applyFill="1" applyBorder="1" applyAlignment="1">
      <alignment horizontal="center" vertical="center" wrapText="1"/>
    </xf>
    <xf numFmtId="0" fontId="66" fillId="0" borderId="2" xfId="5" applyFont="1" applyBorder="1" applyAlignment="1">
      <alignment horizontal="center" vertical="center" wrapText="1"/>
    </xf>
    <xf numFmtId="166" fontId="66" fillId="0" borderId="1" xfId="5" applyNumberFormat="1" applyFont="1" applyBorder="1" applyAlignment="1">
      <alignment horizontal="center" vertical="center"/>
    </xf>
    <xf numFmtId="166" fontId="66" fillId="0" borderId="2" xfId="5" applyNumberFormat="1" applyFont="1" applyBorder="1" applyAlignment="1">
      <alignment horizontal="center" vertical="center"/>
    </xf>
    <xf numFmtId="166" fontId="66" fillId="0" borderId="3" xfId="5" applyNumberFormat="1" applyFont="1" applyBorder="1" applyAlignment="1">
      <alignment horizontal="center" vertical="center"/>
    </xf>
    <xf numFmtId="166" fontId="66" fillId="0" borderId="9" xfId="5" applyNumberFormat="1" applyFont="1" applyBorder="1" applyAlignment="1">
      <alignment horizontal="center" vertical="center"/>
    </xf>
    <xf numFmtId="0" fontId="63" fillId="3" borderId="0" xfId="5" applyFill="1" applyAlignment="1">
      <alignment vertical="center"/>
    </xf>
    <xf numFmtId="166" fontId="66" fillId="3" borderId="9" xfId="5" quotePrefix="1" applyNumberFormat="1" applyFont="1" applyFill="1" applyBorder="1" applyAlignment="1">
      <alignment horizontal="center" vertical="center"/>
    </xf>
    <xf numFmtId="166" fontId="66" fillId="3" borderId="2" xfId="5" applyNumberFormat="1" applyFont="1" applyFill="1" applyBorder="1" applyAlignment="1">
      <alignment horizontal="center" vertical="center"/>
    </xf>
    <xf numFmtId="166" fontId="66" fillId="3" borderId="9" xfId="5" applyNumberFormat="1" applyFont="1" applyFill="1" applyBorder="1" applyAlignment="1">
      <alignment horizontal="center" vertical="center"/>
    </xf>
    <xf numFmtId="166" fontId="66" fillId="3" borderId="3" xfId="5" applyNumberFormat="1" applyFont="1" applyFill="1" applyBorder="1" applyAlignment="1">
      <alignment horizontal="center" vertical="center"/>
    </xf>
    <xf numFmtId="0" fontId="64" fillId="0" borderId="10" xfId="5" applyFont="1" applyBorder="1" applyAlignment="1">
      <alignment horizontal="center" vertical="center"/>
    </xf>
    <xf numFmtId="0" fontId="64" fillId="0" borderId="13" xfId="5" applyFont="1" applyBorder="1" applyAlignment="1">
      <alignment horizontal="center" vertical="center"/>
    </xf>
    <xf numFmtId="166" fontId="63" fillId="3" borderId="15" xfId="5" applyNumberFormat="1" applyFill="1" applyBorder="1" applyAlignment="1">
      <alignment horizontal="center" vertical="center"/>
    </xf>
    <xf numFmtId="166" fontId="63" fillId="3" borderId="14" xfId="5" applyNumberFormat="1" applyFill="1" applyBorder="1" applyAlignment="1">
      <alignment horizontal="center" vertical="center"/>
    </xf>
    <xf numFmtId="0" fontId="63" fillId="0" borderId="0" xfId="5" applyAlignment="1">
      <alignment horizontal="center" vertical="center"/>
    </xf>
    <xf numFmtId="166" fontId="63" fillId="0" borderId="15" xfId="5" applyNumberFormat="1" applyBorder="1" applyAlignment="1">
      <alignment horizontal="right" vertical="center"/>
    </xf>
    <xf numFmtId="166" fontId="63" fillId="0" borderId="0" xfId="5" applyNumberFormat="1" applyAlignment="1">
      <alignment horizontal="right" vertical="center"/>
    </xf>
    <xf numFmtId="166" fontId="63" fillId="0" borderId="14" xfId="5" applyNumberFormat="1" applyBorder="1" applyAlignment="1">
      <alignment horizontal="right" vertical="center"/>
    </xf>
    <xf numFmtId="166" fontId="63" fillId="0" borderId="4" xfId="5" applyNumberFormat="1" applyBorder="1" applyAlignment="1">
      <alignment horizontal="right" vertical="center"/>
    </xf>
    <xf numFmtId="0" fontId="64" fillId="3" borderId="2" xfId="5" quotePrefix="1" applyFont="1" applyFill="1" applyBorder="1" applyAlignment="1">
      <alignment horizontal="center" vertical="center"/>
    </xf>
    <xf numFmtId="0" fontId="63" fillId="3" borderId="9" xfId="5" applyFill="1" applyBorder="1" applyAlignment="1">
      <alignment vertical="center"/>
    </xf>
    <xf numFmtId="0" fontId="63" fillId="3" borderId="4" xfId="5" applyFill="1" applyBorder="1" applyAlignment="1">
      <alignment vertical="center"/>
    </xf>
    <xf numFmtId="0" fontId="63" fillId="3" borderId="14" xfId="5" applyFill="1" applyBorder="1" applyAlignment="1">
      <alignment vertical="center"/>
    </xf>
    <xf numFmtId="0" fontId="63" fillId="3" borderId="5" xfId="5" applyFill="1" applyBorder="1" applyAlignment="1">
      <alignment vertical="center"/>
    </xf>
    <xf numFmtId="0" fontId="63" fillId="3" borderId="6" xfId="5" applyFill="1" applyBorder="1" applyAlignment="1">
      <alignment vertical="center"/>
    </xf>
    <xf numFmtId="0" fontId="63" fillId="3" borderId="8" xfId="5" applyFill="1" applyBorder="1" applyAlignment="1">
      <alignment vertical="center"/>
    </xf>
    <xf numFmtId="0" fontId="64" fillId="0" borderId="5" xfId="5" applyFont="1" applyBorder="1" applyAlignment="1">
      <alignment horizontal="center" vertical="center"/>
    </xf>
    <xf numFmtId="0" fontId="64" fillId="0" borderId="6" xfId="5" applyFont="1" applyBorder="1" applyAlignment="1">
      <alignment horizontal="center" vertical="center"/>
    </xf>
    <xf numFmtId="0" fontId="64" fillId="0" borderId="8" xfId="5" applyFont="1" applyBorder="1" applyAlignment="1">
      <alignment horizontal="center" vertical="center"/>
    </xf>
    <xf numFmtId="0" fontId="64" fillId="3" borderId="0" xfId="5" applyFont="1" applyFill="1" applyAlignment="1">
      <alignment horizontal="center" vertical="center"/>
    </xf>
    <xf numFmtId="2" fontId="64" fillId="0" borderId="10" xfId="5" applyNumberFormat="1" applyFont="1" applyBorder="1" applyAlignment="1">
      <alignment horizontal="center" vertical="center"/>
    </xf>
    <xf numFmtId="2" fontId="63" fillId="0" borderId="10" xfId="5" applyNumberFormat="1" applyBorder="1" applyAlignment="1">
      <alignment horizontal="center" vertical="center"/>
    </xf>
    <xf numFmtId="167" fontId="63" fillId="0" borderId="13" xfId="5" applyNumberFormat="1" applyBorder="1" applyAlignment="1">
      <alignment vertical="center" shrinkToFit="1"/>
    </xf>
    <xf numFmtId="167" fontId="63" fillId="0" borderId="11" xfId="5" applyNumberFormat="1" applyBorder="1" applyAlignment="1">
      <alignment vertical="center" shrinkToFit="1"/>
    </xf>
    <xf numFmtId="11" fontId="63" fillId="0" borderId="13" xfId="5" applyNumberFormat="1" applyBorder="1" applyAlignment="1">
      <alignment vertical="center" shrinkToFit="1"/>
    </xf>
    <xf numFmtId="2" fontId="63" fillId="0" borderId="4" xfId="5" applyNumberFormat="1" applyBorder="1" applyAlignment="1">
      <alignment horizontal="center" vertical="center"/>
    </xf>
    <xf numFmtId="167" fontId="63" fillId="0" borderId="14" xfId="5" applyNumberFormat="1" applyBorder="1" applyAlignment="1">
      <alignment vertical="center" shrinkToFit="1"/>
    </xf>
    <xf numFmtId="167" fontId="63" fillId="0" borderId="15" xfId="5" applyNumberFormat="1" applyBorder="1" applyAlignment="1">
      <alignment vertical="center" shrinkToFit="1"/>
    </xf>
    <xf numFmtId="11" fontId="63" fillId="0" borderId="14" xfId="5" applyNumberFormat="1" applyBorder="1" applyAlignment="1">
      <alignment vertical="center" shrinkToFit="1"/>
    </xf>
    <xf numFmtId="0" fontId="64" fillId="3" borderId="2" xfId="5" applyFont="1" applyFill="1" applyBorder="1" applyAlignment="1">
      <alignment horizontal="center" vertical="center"/>
    </xf>
    <xf numFmtId="0" fontId="64" fillId="3" borderId="6" xfId="5" applyFont="1" applyFill="1" applyBorder="1" applyAlignment="1">
      <alignment horizontal="center" vertical="center"/>
    </xf>
    <xf numFmtId="0" fontId="64" fillId="3" borderId="1" xfId="5" quotePrefix="1" applyFont="1" applyFill="1" applyBorder="1" applyAlignment="1">
      <alignment horizontal="center" vertical="center"/>
    </xf>
    <xf numFmtId="0" fontId="64" fillId="3" borderId="9" xfId="5" applyFont="1" applyFill="1" applyBorder="1" applyAlignment="1">
      <alignment vertical="center"/>
    </xf>
    <xf numFmtId="0" fontId="63" fillId="3" borderId="12" xfId="5" applyFill="1" applyBorder="1" applyAlignment="1">
      <alignment vertical="center"/>
    </xf>
    <xf numFmtId="0" fontId="63" fillId="3" borderId="15" xfId="5" applyFill="1" applyBorder="1" applyAlignment="1">
      <alignment vertical="center"/>
    </xf>
    <xf numFmtId="0" fontId="64" fillId="3" borderId="15" xfId="5" applyFont="1" applyFill="1" applyBorder="1" applyAlignment="1">
      <alignment horizontal="center" vertical="center"/>
    </xf>
    <xf numFmtId="166" fontId="63" fillId="0" borderId="0" xfId="5" applyNumberFormat="1" applyAlignment="1">
      <alignment vertical="center"/>
    </xf>
    <xf numFmtId="0" fontId="64" fillId="3" borderId="1" xfId="5" applyFont="1" applyFill="1" applyBorder="1" applyAlignment="1">
      <alignment horizontal="center" vertical="center"/>
    </xf>
    <xf numFmtId="0" fontId="64" fillId="3" borderId="7" xfId="5" applyFont="1" applyFill="1" applyBorder="1" applyAlignment="1">
      <alignment horizontal="center" vertical="center"/>
    </xf>
    <xf numFmtId="0" fontId="63" fillId="3" borderId="9" xfId="5" applyFill="1" applyBorder="1" applyAlignment="1">
      <alignment horizontal="center" vertical="center"/>
    </xf>
    <xf numFmtId="0" fontId="64" fillId="3" borderId="11" xfId="5" applyFont="1" applyFill="1" applyBorder="1" applyAlignment="1">
      <alignment horizontal="center" vertical="center"/>
    </xf>
    <xf numFmtId="0" fontId="63" fillId="0" borderId="9" xfId="5" applyBorder="1" applyAlignment="1">
      <alignment horizontal="center" vertical="center"/>
    </xf>
    <xf numFmtId="166" fontId="63" fillId="0" borderId="0" xfId="5" applyNumberFormat="1"/>
    <xf numFmtId="166" fontId="64" fillId="3" borderId="9" xfId="5" applyNumberFormat="1" applyFont="1" applyFill="1" applyBorder="1" applyAlignment="1">
      <alignment horizontal="center" vertical="center"/>
    </xf>
    <xf numFmtId="0" fontId="64" fillId="3" borderId="10" xfId="5" applyFont="1" applyFill="1" applyBorder="1" applyAlignment="1">
      <alignment horizontal="center" vertical="center"/>
    </xf>
    <xf numFmtId="0" fontId="64" fillId="3" borderId="14" xfId="5" applyFont="1" applyFill="1" applyBorder="1" applyAlignment="1">
      <alignment horizontal="center" vertical="center"/>
    </xf>
    <xf numFmtId="0" fontId="64" fillId="0" borderId="10" xfId="5" applyFont="1" applyBorder="1" applyAlignment="1">
      <alignment horizontal="right" vertical="center"/>
    </xf>
    <xf numFmtId="166" fontId="63" fillId="3" borderId="9" xfId="5" quotePrefix="1" applyNumberFormat="1" applyFill="1" applyBorder="1" applyAlignment="1">
      <alignment horizontal="right" vertical="center" shrinkToFit="1"/>
    </xf>
    <xf numFmtId="166" fontId="63" fillId="3" borderId="4" xfId="5" applyNumberFormat="1" applyFill="1" applyBorder="1" applyAlignment="1">
      <alignment horizontal="right" vertical="center" shrinkToFit="1"/>
    </xf>
    <xf numFmtId="166" fontId="63" fillId="3" borderId="9" xfId="5" applyNumberFormat="1" applyFill="1" applyBorder="1" applyAlignment="1">
      <alignment horizontal="right" vertical="center" shrinkToFit="1"/>
    </xf>
    <xf numFmtId="166" fontId="63" fillId="3" borderId="5" xfId="5" applyNumberFormat="1" applyFill="1" applyBorder="1" applyAlignment="1">
      <alignment horizontal="right" vertical="center" shrinkToFit="1"/>
    </xf>
    <xf numFmtId="168" fontId="63" fillId="3" borderId="11" xfId="5" applyNumberFormat="1" applyFill="1" applyBorder="1" applyAlignment="1">
      <alignment vertical="center" shrinkToFit="1"/>
    </xf>
    <xf numFmtId="0" fontId="63" fillId="3" borderId="10" xfId="5" applyFill="1" applyBorder="1" applyAlignment="1">
      <alignment vertical="center"/>
    </xf>
    <xf numFmtId="0" fontId="63" fillId="3" borderId="13" xfId="5" applyFill="1" applyBorder="1" applyAlignment="1">
      <alignment vertical="center"/>
    </xf>
    <xf numFmtId="0" fontId="64" fillId="0" borderId="4" xfId="5" applyFont="1" applyBorder="1" applyAlignment="1">
      <alignment horizontal="right" vertical="center" shrinkToFit="1"/>
    </xf>
    <xf numFmtId="168" fontId="63" fillId="3" borderId="15" xfId="5" applyNumberFormat="1" applyFill="1" applyBorder="1" applyAlignment="1">
      <alignment vertical="center" shrinkToFit="1"/>
    </xf>
    <xf numFmtId="0" fontId="64" fillId="0" borderId="5" xfId="5" applyFont="1" applyBorder="1" applyAlignment="1">
      <alignment horizontal="center" vertical="center" shrinkToFit="1"/>
    </xf>
    <xf numFmtId="166" fontId="63" fillId="0" borderId="5" xfId="5" applyNumberFormat="1" applyBorder="1" applyAlignment="1">
      <alignment horizontal="center" vertical="center" shrinkToFit="1"/>
    </xf>
    <xf numFmtId="166" fontId="63" fillId="0" borderId="4" xfId="5" applyNumberFormat="1" applyBorder="1" applyAlignment="1">
      <alignment horizontal="center" vertical="center" shrinkToFit="1"/>
    </xf>
    <xf numFmtId="168" fontId="63" fillId="3" borderId="1" xfId="5" applyNumberFormat="1" applyFill="1" applyBorder="1" applyAlignment="1">
      <alignment vertical="center" shrinkToFit="1"/>
    </xf>
    <xf numFmtId="2" fontId="63" fillId="0" borderId="5" xfId="5" applyNumberFormat="1" applyBorder="1" applyAlignment="1">
      <alignment horizontal="center" vertical="center"/>
    </xf>
    <xf numFmtId="167" fontId="63" fillId="0" borderId="8" xfId="5" applyNumberFormat="1" applyBorder="1" applyAlignment="1">
      <alignment vertical="center" shrinkToFit="1"/>
    </xf>
    <xf numFmtId="167" fontId="63" fillId="0" borderId="7" xfId="5" applyNumberFormat="1" applyBorder="1" applyAlignment="1">
      <alignment vertical="center" shrinkToFit="1"/>
    </xf>
    <xf numFmtId="11" fontId="63" fillId="0" borderId="8" xfId="5" applyNumberFormat="1" applyBorder="1" applyAlignment="1">
      <alignment vertical="center" shrinkToFit="1"/>
    </xf>
    <xf numFmtId="167" fontId="63" fillId="0" borderId="0" xfId="5" applyNumberFormat="1" applyAlignment="1">
      <alignment vertical="center" shrinkToFit="1"/>
    </xf>
    <xf numFmtId="167" fontId="63" fillId="0" borderId="0" xfId="5" applyNumberFormat="1" applyAlignment="1">
      <alignment vertical="center"/>
    </xf>
    <xf numFmtId="166" fontId="63" fillId="3" borderId="7" xfId="5" applyNumberFormat="1" applyFill="1" applyBorder="1" applyAlignment="1">
      <alignment horizontal="center" vertical="center"/>
    </xf>
    <xf numFmtId="166" fontId="63" fillId="3" borderId="8" xfId="5" applyNumberFormat="1" applyFill="1" applyBorder="1" applyAlignment="1">
      <alignment horizontal="center" vertical="center"/>
    </xf>
    <xf numFmtId="0" fontId="63" fillId="0" borderId="6" xfId="5" applyBorder="1" applyAlignment="1">
      <alignment horizontal="center" vertical="center"/>
    </xf>
    <xf numFmtId="166" fontId="63" fillId="0" borderId="7" xfId="5" applyNumberFormat="1" applyBorder="1" applyAlignment="1">
      <alignment horizontal="right" vertical="center"/>
    </xf>
    <xf numFmtId="166" fontId="63" fillId="0" borderId="6" xfId="5" applyNumberFormat="1" applyBorder="1" applyAlignment="1">
      <alignment horizontal="right" vertical="center"/>
    </xf>
    <xf numFmtId="166" fontId="63" fillId="0" borderId="8" xfId="5" applyNumberFormat="1" applyBorder="1" applyAlignment="1">
      <alignment horizontal="right" vertical="center"/>
    </xf>
    <xf numFmtId="166" fontId="63" fillId="0" borderId="5" xfId="5" applyNumberFormat="1" applyBorder="1" applyAlignment="1">
      <alignment horizontal="right" vertical="center"/>
    </xf>
    <xf numFmtId="168" fontId="11" fillId="0" borderId="0" xfId="1" applyNumberFormat="1"/>
    <xf numFmtId="168" fontId="11" fillId="0" borderId="0" xfId="1" applyNumberFormat="1" applyAlignment="1">
      <alignment horizontal="center"/>
    </xf>
    <xf numFmtId="166" fontId="11" fillId="0" borderId="5" xfId="1" applyNumberFormat="1" applyBorder="1"/>
    <xf numFmtId="166" fontId="11" fillId="0" borderId="9" xfId="1" applyNumberFormat="1" applyBorder="1"/>
    <xf numFmtId="166" fontId="11" fillId="0" borderId="6" xfId="1" applyNumberFormat="1" applyBorder="1"/>
    <xf numFmtId="166" fontId="11" fillId="0" borderId="7" xfId="1" applyNumberFormat="1" applyBorder="1"/>
    <xf numFmtId="0" fontId="12" fillId="0" borderId="6" xfId="1" applyFont="1" applyBorder="1" applyAlignment="1">
      <alignment horizontal="center"/>
    </xf>
    <xf numFmtId="2" fontId="11" fillId="0" borderId="5" xfId="1" applyNumberFormat="1" applyBorder="1" applyAlignment="1">
      <alignment horizontal="center"/>
    </xf>
    <xf numFmtId="2" fontId="11" fillId="0" borderId="7" xfId="1" applyNumberFormat="1" applyBorder="1" applyAlignment="1">
      <alignment horizontal="center"/>
    </xf>
    <xf numFmtId="166" fontId="11" fillId="0" borderId="4" xfId="1" applyNumberFormat="1" applyBorder="1"/>
    <xf numFmtId="166" fontId="11" fillId="0" borderId="15" xfId="1" applyNumberFormat="1" applyBorder="1"/>
    <xf numFmtId="0" fontId="12" fillId="2" borderId="5" xfId="1" applyFont="1" applyFill="1" applyBorder="1" applyAlignment="1">
      <alignment horizontal="center"/>
    </xf>
    <xf numFmtId="0" fontId="12" fillId="0" borderId="12" xfId="1" applyFont="1" applyBorder="1" applyAlignment="1">
      <alignment horizontal="center"/>
    </xf>
    <xf numFmtId="2" fontId="11" fillId="0" borderId="9" xfId="1" applyNumberFormat="1" applyBorder="1" applyAlignment="1">
      <alignment horizontal="center"/>
    </xf>
    <xf numFmtId="166" fontId="11" fillId="0" borderId="10" xfId="1" applyNumberFormat="1" applyBorder="1"/>
    <xf numFmtId="166" fontId="11" fillId="0" borderId="12" xfId="1" applyNumberFormat="1" applyBorder="1"/>
    <xf numFmtId="0" fontId="11" fillId="2" borderId="13" xfId="1" applyFill="1" applyBorder="1" applyAlignment="1">
      <alignment horizontal="center"/>
    </xf>
    <xf numFmtId="2" fontId="11" fillId="0" borderId="11" xfId="1" applyNumberFormat="1" applyBorder="1" applyAlignment="1">
      <alignment horizontal="center"/>
    </xf>
    <xf numFmtId="166" fontId="11" fillId="2" borderId="3" xfId="1" applyNumberFormat="1" applyFill="1" applyBorder="1"/>
    <xf numFmtId="0" fontId="11" fillId="0" borderId="5" xfId="1" applyBorder="1"/>
    <xf numFmtId="0" fontId="11" fillId="0" borderId="9" xfId="1" applyBorder="1"/>
    <xf numFmtId="0" fontId="11" fillId="0" borderId="4" xfId="1" applyBorder="1"/>
    <xf numFmtId="166" fontId="11" fillId="0" borderId="2" xfId="1" applyNumberFormat="1" applyBorder="1" applyAlignment="1">
      <alignment horizontal="center"/>
    </xf>
    <xf numFmtId="164" fontId="11" fillId="0" borderId="1" xfId="1" applyNumberFormat="1" applyBorder="1" applyAlignment="1">
      <alignment horizontal="center"/>
    </xf>
    <xf numFmtId="164" fontId="11" fillId="0" borderId="2" xfId="1" applyNumberFormat="1" applyBorder="1" applyAlignment="1">
      <alignment horizontal="center"/>
    </xf>
    <xf numFmtId="164" fontId="11" fillId="0" borderId="9" xfId="1" applyNumberFormat="1" applyBorder="1" applyAlignment="1">
      <alignment horizontal="center"/>
    </xf>
    <xf numFmtId="164" fontId="11" fillId="0" borderId="3" xfId="1" applyNumberFormat="1" applyBorder="1" applyAlignment="1">
      <alignment horizontal="center"/>
    </xf>
    <xf numFmtId="0" fontId="11" fillId="0" borderId="10" xfId="1" applyBorder="1"/>
    <xf numFmtId="166" fontId="11" fillId="0" borderId="6" xfId="1" applyNumberFormat="1" applyBorder="1" applyAlignment="1">
      <alignment horizontal="center"/>
    </xf>
    <xf numFmtId="164" fontId="11" fillId="0" borderId="7" xfId="1" applyNumberFormat="1" applyBorder="1" applyAlignment="1">
      <alignment horizontal="center"/>
    </xf>
    <xf numFmtId="164" fontId="11" fillId="0" borderId="6" xfId="1" applyNumberFormat="1" applyBorder="1"/>
    <xf numFmtId="164" fontId="11" fillId="0" borderId="8" xfId="1" applyNumberFormat="1" applyBorder="1"/>
    <xf numFmtId="164" fontId="11" fillId="0" borderId="8" xfId="1" applyNumberFormat="1" applyBorder="1" applyAlignment="1">
      <alignment horizontal="center"/>
    </xf>
    <xf numFmtId="168" fontId="11" fillId="0" borderId="7" xfId="1" applyNumberFormat="1" applyBorder="1"/>
    <xf numFmtId="166" fontId="11" fillId="0" borderId="0" xfId="1" applyNumberFormat="1"/>
    <xf numFmtId="166" fontId="11" fillId="0" borderId="0" xfId="1" applyNumberFormat="1" applyAlignment="1">
      <alignment horizontal="center"/>
    </xf>
    <xf numFmtId="164" fontId="11" fillId="0" borderId="15" xfId="1" applyNumberFormat="1" applyBorder="1" applyAlignment="1">
      <alignment horizontal="center"/>
    </xf>
    <xf numFmtId="164" fontId="11" fillId="0" borderId="14" xfId="1" applyNumberFormat="1" applyBorder="1"/>
    <xf numFmtId="164" fontId="11" fillId="0" borderId="14" xfId="1" applyNumberFormat="1" applyBorder="1" applyAlignment="1">
      <alignment horizontal="center"/>
    </xf>
    <xf numFmtId="168" fontId="11" fillId="0" borderId="15" xfId="1" applyNumberFormat="1" applyBorder="1"/>
    <xf numFmtId="0" fontId="11" fillId="2" borderId="9" xfId="1" applyFill="1" applyBorder="1" applyAlignment="1">
      <alignment horizontal="center"/>
    </xf>
    <xf numFmtId="166" fontId="11" fillId="0" borderId="11" xfId="1" applyNumberFormat="1" applyBorder="1"/>
    <xf numFmtId="166" fontId="11" fillId="0" borderId="12" xfId="1" applyNumberFormat="1" applyBorder="1" applyAlignment="1">
      <alignment horizontal="center"/>
    </xf>
    <xf numFmtId="164" fontId="11" fillId="0" borderId="11" xfId="1" applyNumberFormat="1" applyBorder="1" applyAlignment="1">
      <alignment horizontal="center"/>
    </xf>
    <xf numFmtId="164" fontId="11" fillId="0" borderId="12" xfId="1" applyNumberFormat="1" applyBorder="1"/>
    <xf numFmtId="164" fontId="11" fillId="0" borderId="13" xfId="1" applyNumberFormat="1" applyBorder="1"/>
    <xf numFmtId="168" fontId="12" fillId="2" borderId="8" xfId="1" applyNumberFormat="1" applyFont="1" applyFill="1" applyBorder="1" applyAlignment="1">
      <alignment horizontal="center" vertical="center" wrapText="1"/>
    </xf>
    <xf numFmtId="168" fontId="12" fillId="2" borderId="7" xfId="1" applyNumberFormat="1" applyFont="1" applyFill="1" applyBorder="1" applyAlignment="1">
      <alignment horizontal="center" vertical="center" wrapText="1"/>
    </xf>
    <xf numFmtId="0" fontId="12" fillId="2" borderId="12" xfId="1" applyFont="1" applyFill="1" applyBorder="1" applyAlignment="1">
      <alignment horizontal="center" vertical="center"/>
    </xf>
    <xf numFmtId="1" fontId="12" fillId="2" borderId="13" xfId="1" applyNumberFormat="1" applyFont="1" applyFill="1" applyBorder="1" applyAlignment="1">
      <alignment horizontal="center" vertical="center" wrapText="1"/>
    </xf>
    <xf numFmtId="0" fontId="12" fillId="2" borderId="2" xfId="1" applyFont="1" applyFill="1" applyBorder="1" applyAlignment="1">
      <alignment horizontal="center" vertical="center"/>
    </xf>
    <xf numFmtId="0" fontId="12" fillId="2" borderId="3" xfId="1" applyFont="1" applyFill="1" applyBorder="1" applyAlignment="1">
      <alignment horizontal="center" vertical="center"/>
    </xf>
    <xf numFmtId="0" fontId="12" fillId="2" borderId="11" xfId="1" applyFont="1" applyFill="1" applyBorder="1" applyAlignment="1">
      <alignment horizontal="center" vertical="center" wrapText="1"/>
    </xf>
    <xf numFmtId="0" fontId="11" fillId="2" borderId="7" xfId="1" applyFill="1" applyBorder="1" applyAlignment="1">
      <alignment horizontal="center"/>
    </xf>
    <xf numFmtId="0" fontId="12" fillId="2" borderId="14" xfId="1" applyFont="1" applyFill="1" applyBorder="1" applyAlignment="1">
      <alignment horizontal="center"/>
    </xf>
    <xf numFmtId="0" fontId="12" fillId="2" borderId="1" xfId="1" applyFont="1" applyFill="1" applyBorder="1" applyAlignment="1">
      <alignment horizontal="center" vertical="center"/>
    </xf>
    <xf numFmtId="0" fontId="11" fillId="3" borderId="0" xfId="1" applyFill="1" applyAlignment="1">
      <alignment horizontal="center"/>
    </xf>
    <xf numFmtId="168" fontId="11" fillId="3" borderId="0" xfId="1" applyNumberFormat="1" applyFill="1" applyAlignment="1">
      <alignment horizontal="center"/>
    </xf>
    <xf numFmtId="164" fontId="11" fillId="3" borderId="0" xfId="1" applyNumberFormat="1" applyFill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0" xfId="0" applyFill="1"/>
    <xf numFmtId="0" fontId="5" fillId="2" borderId="15" xfId="0" applyFont="1" applyFill="1" applyBorder="1" applyAlignment="1">
      <alignment horizontal="center"/>
    </xf>
    <xf numFmtId="0" fontId="0" fillId="2" borderId="14" xfId="0" applyFill="1" applyBorder="1"/>
    <xf numFmtId="0" fontId="57" fillId="0" borderId="13" xfId="0" quotePrefix="1" applyFont="1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57" fillId="0" borderId="13" xfId="0" quotePrefix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5" fillId="2" borderId="1" xfId="0" quotePrefix="1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0" fillId="2" borderId="2" xfId="0" applyFill="1" applyBorder="1"/>
    <xf numFmtId="0" fontId="0" fillId="2" borderId="3" xfId="0" applyFill="1" applyBorder="1"/>
    <xf numFmtId="0" fontId="5" fillId="2" borderId="1" xfId="0" applyFont="1" applyFill="1" applyBorder="1" applyAlignment="1">
      <alignment horizontal="center" shrinkToFit="1"/>
    </xf>
    <xf numFmtId="0" fontId="5" fillId="2" borderId="2" xfId="0" applyFont="1" applyFill="1" applyBorder="1" applyAlignment="1">
      <alignment horizontal="center" shrinkToFit="1"/>
    </xf>
    <xf numFmtId="0" fontId="5" fillId="2" borderId="3" xfId="0" applyFont="1" applyFill="1" applyBorder="1" applyAlignment="1">
      <alignment horizontal="center" shrinkToFit="1"/>
    </xf>
    <xf numFmtId="0" fontId="57" fillId="0" borderId="12" xfId="0" quotePrefix="1" applyFont="1" applyBorder="1" applyAlignment="1">
      <alignment horizontal="center" vertical="top" wrapText="1"/>
    </xf>
    <xf numFmtId="0" fontId="57" fillId="0" borderId="0" xfId="0" applyFont="1" applyAlignment="1">
      <alignment horizontal="center" vertical="top" wrapText="1"/>
    </xf>
    <xf numFmtId="0" fontId="57" fillId="0" borderId="6" xfId="0" applyFont="1" applyBorder="1" applyAlignment="1">
      <alignment horizontal="center" vertical="top" wrapText="1"/>
    </xf>
    <xf numFmtId="0" fontId="57" fillId="0" borderId="14" xfId="0" applyFont="1" applyBorder="1" applyAlignment="1">
      <alignment horizontal="center" vertical="top" wrapText="1"/>
    </xf>
    <xf numFmtId="0" fontId="57" fillId="0" borderId="8" xfId="0" applyFont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0" fillId="0" borderId="3" xfId="0" applyBorder="1"/>
    <xf numFmtId="0" fontId="4" fillId="0" borderId="1" xfId="0" applyFont="1" applyBorder="1" applyAlignment="1">
      <alignment horizontal="center" shrinkToFit="1"/>
    </xf>
    <xf numFmtId="0" fontId="4" fillId="0" borderId="2" xfId="0" applyFont="1" applyBorder="1" applyAlignment="1">
      <alignment horizontal="center" shrinkToFit="1"/>
    </xf>
    <xf numFmtId="0" fontId="4" fillId="0" borderId="3" xfId="0" applyFont="1" applyBorder="1" applyAlignment="1">
      <alignment horizontal="center" shrinkToFit="1"/>
    </xf>
    <xf numFmtId="0" fontId="2" fillId="0" borderId="10" xfId="0" quotePrefix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166" fontId="2" fillId="0" borderId="10" xfId="3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54" fillId="0" borderId="1" xfId="3" applyFont="1" applyBorder="1" applyAlignment="1">
      <alignment horizontal="center" vertical="center"/>
    </xf>
    <xf numFmtId="0" fontId="3" fillId="0" borderId="7" xfId="3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3" fillId="0" borderId="1" xfId="3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3" applyFont="1" applyBorder="1" applyAlignment="1">
      <alignment horizontal="center" vertical="center" shrinkToFit="1"/>
    </xf>
    <xf numFmtId="0" fontId="3" fillId="0" borderId="2" xfId="3" applyFont="1" applyBorder="1" applyAlignment="1">
      <alignment horizontal="center" vertical="center" shrinkToFit="1"/>
    </xf>
    <xf numFmtId="0" fontId="3" fillId="0" borderId="3" xfId="3" applyFont="1" applyBorder="1" applyAlignment="1">
      <alignment horizontal="center" vertical="center" shrinkToFi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0" fillId="0" borderId="2" xfId="0" applyBorder="1"/>
    <xf numFmtId="0" fontId="0" fillId="0" borderId="3" xfId="0" applyBorder="1" applyAlignment="1">
      <alignment horizontal="center" wrapText="1"/>
    </xf>
    <xf numFmtId="0" fontId="3" fillId="0" borderId="1" xfId="0" applyFont="1" applyBorder="1" applyAlignment="1">
      <alignment horizontal="center" shrinkToFit="1"/>
    </xf>
    <xf numFmtId="0" fontId="0" fillId="0" borderId="3" xfId="0" applyBorder="1" applyAlignment="1">
      <alignment horizontal="center" shrinkToFit="1"/>
    </xf>
    <xf numFmtId="0" fontId="5" fillId="2" borderId="10" xfId="0" applyFont="1" applyFill="1" applyBorder="1" applyAlignment="1">
      <alignment horizontal="center" vertical="center" textRotation="90" wrapText="1"/>
    </xf>
    <xf numFmtId="0" fontId="5" fillId="2" borderId="4" xfId="0" applyFont="1" applyFill="1" applyBorder="1" applyAlignment="1">
      <alignment horizontal="center" vertical="center" textRotation="90" wrapText="1"/>
    </xf>
    <xf numFmtId="0" fontId="5" fillId="2" borderId="5" xfId="0" applyFont="1" applyFill="1" applyBorder="1" applyAlignment="1">
      <alignment horizontal="center" vertical="center" textRotation="90" wrapText="1"/>
    </xf>
    <xf numFmtId="0" fontId="3" fillId="2" borderId="10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0" fillId="2" borderId="10" xfId="0" applyFont="1" applyFill="1" applyBorder="1" applyAlignment="1">
      <alignment horizontal="center" vertical="center"/>
    </xf>
    <xf numFmtId="0" fontId="0" fillId="2" borderId="12" xfId="0" applyFill="1" applyBorder="1"/>
    <xf numFmtId="0" fontId="0" fillId="2" borderId="13" xfId="0" applyFill="1" applyBorder="1"/>
    <xf numFmtId="0" fontId="2" fillId="2" borderId="1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/>
    </xf>
    <xf numFmtId="0" fontId="5" fillId="2" borderId="2" xfId="1" applyFont="1" applyFill="1" applyBorder="1" applyAlignment="1">
      <alignment horizontal="center"/>
    </xf>
    <xf numFmtId="0" fontId="5" fillId="2" borderId="3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0" fontId="3" fillId="2" borderId="3" xfId="1" applyFont="1" applyFill="1" applyBorder="1" applyAlignment="1">
      <alignment horizontal="center"/>
    </xf>
    <xf numFmtId="0" fontId="11" fillId="0" borderId="2" xfId="1" applyBorder="1" applyAlignment="1">
      <alignment horizontal="center"/>
    </xf>
    <xf numFmtId="0" fontId="11" fillId="0" borderId="3" xfId="1" applyBorder="1" applyAlignment="1">
      <alignment horizontal="center"/>
    </xf>
    <xf numFmtId="0" fontId="2" fillId="2" borderId="3" xfId="1" applyFont="1" applyFill="1" applyBorder="1"/>
    <xf numFmtId="0" fontId="22" fillId="0" borderId="11" xfId="1" applyFont="1" applyBorder="1" applyAlignment="1">
      <alignment horizontal="center" vertical="center" wrapText="1"/>
    </xf>
    <xf numFmtId="0" fontId="12" fillId="0" borderId="13" xfId="1" applyFont="1" applyBorder="1" applyAlignment="1">
      <alignment horizontal="center" vertical="center" wrapText="1"/>
    </xf>
    <xf numFmtId="0" fontId="12" fillId="0" borderId="7" xfId="1" applyFont="1" applyBorder="1" applyAlignment="1">
      <alignment horizontal="center" vertical="center" wrapText="1"/>
    </xf>
    <xf numFmtId="0" fontId="12" fillId="0" borderId="8" xfId="1" applyFont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/>
    </xf>
    <xf numFmtId="2" fontId="5" fillId="2" borderId="2" xfId="0" applyNumberFormat="1" applyFont="1" applyFill="1" applyBorder="1" applyAlignment="1">
      <alignment horizontal="center"/>
    </xf>
    <xf numFmtId="2" fontId="5" fillId="2" borderId="3" xfId="0" applyNumberFormat="1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shrinkToFit="1"/>
    </xf>
    <xf numFmtId="0" fontId="5" fillId="0" borderId="6" xfId="0" applyFont="1" applyBorder="1" applyAlignment="1">
      <alignment horizontal="center" shrinkToFit="1"/>
    </xf>
    <xf numFmtId="0" fontId="0" fillId="0" borderId="8" xfId="0" applyBorder="1"/>
    <xf numFmtId="0" fontId="46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46" fillId="0" borderId="10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0" fontId="46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shrinkToFit="1"/>
    </xf>
    <xf numFmtId="0" fontId="5" fillId="0" borderId="3" xfId="0" applyFont="1" applyBorder="1" applyAlignment="1">
      <alignment horizontal="center" shrinkToFit="1"/>
    </xf>
    <xf numFmtId="0" fontId="0" fillId="0" borderId="3" xfId="0" applyBorder="1" applyAlignment="1">
      <alignment wrapText="1"/>
    </xf>
    <xf numFmtId="0" fontId="46" fillId="0" borderId="13" xfId="0" applyFont="1" applyBorder="1" applyAlignment="1">
      <alignment horizontal="center" vertical="center" wrapText="1"/>
    </xf>
    <xf numFmtId="0" fontId="46" fillId="0" borderId="8" xfId="0" applyFont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5" fillId="2" borderId="13" xfId="0" applyFont="1" applyFill="1" applyBorder="1" applyAlignment="1">
      <alignment horizontal="center" vertical="center"/>
    </xf>
    <xf numFmtId="0" fontId="44" fillId="0" borderId="8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40" fillId="2" borderId="11" xfId="2" applyFont="1" applyFill="1" applyBorder="1" applyAlignment="1">
      <alignment horizontal="center" vertical="center"/>
    </xf>
    <xf numFmtId="0" fontId="40" fillId="2" borderId="12" xfId="2" applyFont="1" applyFill="1" applyBorder="1" applyAlignment="1">
      <alignment horizontal="center" vertical="center"/>
    </xf>
    <xf numFmtId="0" fontId="40" fillId="2" borderId="13" xfId="2" applyFont="1" applyFill="1" applyBorder="1" applyAlignment="1">
      <alignment horizontal="center" vertical="center"/>
    </xf>
    <xf numFmtId="0" fontId="40" fillId="2" borderId="1" xfId="2" applyFont="1" applyFill="1" applyBorder="1" applyAlignment="1">
      <alignment horizontal="center" vertical="center"/>
    </xf>
    <xf numFmtId="0" fontId="42" fillId="2" borderId="3" xfId="2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166" fontId="3" fillId="2" borderId="1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66" fontId="22" fillId="2" borderId="11" xfId="0" applyNumberFormat="1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2" borderId="11" xfId="1" applyFont="1" applyFill="1" applyBorder="1" applyAlignment="1">
      <alignment horizontal="center"/>
    </xf>
    <xf numFmtId="0" fontId="12" fillId="2" borderId="2" xfId="1" applyFont="1" applyFill="1" applyBorder="1" applyAlignment="1">
      <alignment horizontal="center"/>
    </xf>
    <xf numFmtId="0" fontId="12" fillId="2" borderId="3" xfId="1" applyFont="1" applyFill="1" applyBorder="1" applyAlignment="1">
      <alignment horizontal="center"/>
    </xf>
    <xf numFmtId="0" fontId="12" fillId="2" borderId="1" xfId="1" applyFont="1" applyFill="1" applyBorder="1" applyAlignment="1">
      <alignment horizontal="center"/>
    </xf>
    <xf numFmtId="0" fontId="12" fillId="2" borderId="11" xfId="1" applyFont="1" applyFill="1" applyBorder="1" applyAlignment="1">
      <alignment horizontal="center" vertical="center" wrapText="1"/>
    </xf>
    <xf numFmtId="0" fontId="11" fillId="2" borderId="12" xfId="1" applyFill="1" applyBorder="1" applyAlignment="1">
      <alignment horizontal="center" vertical="center" wrapText="1"/>
    </xf>
    <xf numFmtId="0" fontId="11" fillId="2" borderId="13" xfId="1" applyFill="1" applyBorder="1" applyAlignment="1">
      <alignment horizontal="center" vertical="center" wrapText="1"/>
    </xf>
    <xf numFmtId="0" fontId="12" fillId="2" borderId="12" xfId="1" applyFont="1" applyFill="1" applyBorder="1" applyAlignment="1">
      <alignment horizontal="center"/>
    </xf>
    <xf numFmtId="0" fontId="12" fillId="2" borderId="13" xfId="1" applyFont="1" applyFill="1" applyBorder="1" applyAlignment="1">
      <alignment horizontal="center"/>
    </xf>
    <xf numFmtId="0" fontId="12" fillId="2" borderId="12" xfId="1" applyFont="1" applyFill="1" applyBorder="1" applyAlignment="1">
      <alignment horizontal="center" vertical="center" wrapText="1"/>
    </xf>
    <xf numFmtId="0" fontId="70" fillId="2" borderId="11" xfId="1" applyFont="1" applyFill="1" applyBorder="1" applyAlignment="1">
      <alignment horizontal="center" vertical="center"/>
    </xf>
    <xf numFmtId="0" fontId="11" fillId="0" borderId="7" xfId="1" applyBorder="1" applyAlignment="1">
      <alignment horizontal="center" vertical="center"/>
    </xf>
    <xf numFmtId="0" fontId="11" fillId="0" borderId="12" xfId="1" applyBorder="1"/>
    <xf numFmtId="0" fontId="12" fillId="2" borderId="11" xfId="1" applyFont="1" applyFill="1" applyBorder="1" applyAlignment="1">
      <alignment horizontal="center" vertical="center"/>
    </xf>
    <xf numFmtId="0" fontId="12" fillId="2" borderId="7" xfId="1" applyFont="1" applyFill="1" applyBorder="1" applyAlignment="1">
      <alignment horizontal="center" vertical="center"/>
    </xf>
    <xf numFmtId="0" fontId="12" fillId="2" borderId="12" xfId="1" applyFont="1" applyFill="1" applyBorder="1" applyAlignment="1">
      <alignment horizontal="center" vertical="center"/>
    </xf>
    <xf numFmtId="0" fontId="12" fillId="2" borderId="6" xfId="1" applyFont="1" applyFill="1" applyBorder="1" applyAlignment="1">
      <alignment horizontal="center" vertical="center"/>
    </xf>
    <xf numFmtId="0" fontId="11" fillId="0" borderId="7" xfId="1" applyBorder="1"/>
    <xf numFmtId="0" fontId="11" fillId="0" borderId="6" xfId="1" applyBorder="1"/>
    <xf numFmtId="0" fontId="12" fillId="2" borderId="13" xfId="1" applyFont="1" applyFill="1" applyBorder="1" applyAlignment="1">
      <alignment horizontal="center" vertical="center"/>
    </xf>
    <xf numFmtId="0" fontId="11" fillId="0" borderId="8" xfId="1" applyBorder="1"/>
    <xf numFmtId="0" fontId="12" fillId="2" borderId="10" xfId="1" applyFont="1" applyFill="1" applyBorder="1" applyAlignment="1">
      <alignment horizontal="center" vertical="center"/>
    </xf>
    <xf numFmtId="0" fontId="12" fillId="2" borderId="4" xfId="1" applyFont="1" applyFill="1" applyBorder="1" applyAlignment="1">
      <alignment horizontal="center" vertical="center"/>
    </xf>
    <xf numFmtId="0" fontId="12" fillId="2" borderId="5" xfId="1" applyFont="1" applyFill="1" applyBorder="1" applyAlignment="1">
      <alignment horizontal="center" vertical="center"/>
    </xf>
    <xf numFmtId="0" fontId="12" fillId="2" borderId="12" xfId="1" applyFont="1" applyFill="1" applyBorder="1"/>
    <xf numFmtId="0" fontId="12" fillId="2" borderId="13" xfId="1" applyFont="1" applyFill="1" applyBorder="1"/>
    <xf numFmtId="0" fontId="69" fillId="2" borderId="10" xfId="1" applyFont="1" applyFill="1" applyBorder="1" applyAlignment="1">
      <alignment horizontal="center" vertical="center" wrapText="1"/>
    </xf>
    <xf numFmtId="0" fontId="12" fillId="0" borderId="4" xfId="1" applyFont="1" applyBorder="1" applyAlignment="1">
      <alignment vertical="center" wrapText="1"/>
    </xf>
    <xf numFmtId="0" fontId="12" fillId="0" borderId="5" xfId="1" applyFont="1" applyBorder="1" applyAlignment="1">
      <alignment vertical="center" wrapText="1"/>
    </xf>
    <xf numFmtId="0" fontId="23" fillId="2" borderId="11" xfId="1" applyFont="1" applyFill="1" applyBorder="1" applyAlignment="1">
      <alignment horizontal="center" vertical="center"/>
    </xf>
    <xf numFmtId="0" fontId="23" fillId="0" borderId="15" xfId="1" applyFont="1" applyBorder="1" applyAlignment="1">
      <alignment vertical="center"/>
    </xf>
    <xf numFmtId="0" fontId="23" fillId="0" borderId="7" xfId="1" applyFont="1" applyBorder="1" applyAlignment="1">
      <alignment vertical="center"/>
    </xf>
    <xf numFmtId="0" fontId="12" fillId="2" borderId="13" xfId="1" applyFont="1" applyFill="1" applyBorder="1" applyAlignment="1">
      <alignment horizontal="center" vertical="center" wrapText="1"/>
    </xf>
    <xf numFmtId="0" fontId="12" fillId="2" borderId="14" xfId="1" applyFont="1" applyFill="1" applyBorder="1" applyAlignment="1">
      <alignment horizontal="center" vertical="center" wrapText="1"/>
    </xf>
    <xf numFmtId="0" fontId="12" fillId="2" borderId="8" xfId="1" applyFont="1" applyFill="1" applyBorder="1" applyAlignment="1">
      <alignment horizontal="center" vertical="center" wrapText="1"/>
    </xf>
    <xf numFmtId="0" fontId="12" fillId="2" borderId="10" xfId="1" applyFont="1" applyFill="1" applyBorder="1" applyAlignment="1">
      <alignment horizontal="center" vertical="center" wrapText="1"/>
    </xf>
    <xf numFmtId="0" fontId="12" fillId="2" borderId="7" xfId="1" applyFont="1" applyFill="1" applyBorder="1" applyAlignment="1">
      <alignment horizontal="center" vertical="center" wrapText="1"/>
    </xf>
    <xf numFmtId="0" fontId="5" fillId="2" borderId="2" xfId="0" applyFont="1" applyFill="1" applyBorder="1"/>
    <xf numFmtId="0" fontId="5" fillId="2" borderId="3" xfId="0" applyFont="1" applyFill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15" xfId="0" applyBorder="1" applyAlignment="1">
      <alignment vertical="center"/>
    </xf>
    <xf numFmtId="0" fontId="3" fillId="2" borderId="13" xfId="0" applyFont="1" applyFill="1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/>
    <xf numFmtId="0" fontId="22" fillId="2" borderId="1" xfId="1" applyFont="1" applyFill="1" applyBorder="1" applyAlignment="1">
      <alignment horizontal="center" vertical="center"/>
    </xf>
    <xf numFmtId="0" fontId="21" fillId="2" borderId="2" xfId="1" applyFont="1" applyFill="1" applyBorder="1" applyAlignment="1">
      <alignment horizontal="center" vertical="center"/>
    </xf>
    <xf numFmtId="0" fontId="21" fillId="2" borderId="3" xfId="1" applyFont="1" applyFill="1" applyBorder="1" applyAlignment="1">
      <alignment horizontal="center" vertical="center"/>
    </xf>
    <xf numFmtId="2" fontId="22" fillId="0" borderId="1" xfId="1" applyNumberFormat="1" applyFont="1" applyBorder="1" applyAlignment="1">
      <alignment horizontal="center" vertical="center"/>
    </xf>
    <xf numFmtId="2" fontId="12" fillId="0" borderId="2" xfId="1" applyNumberFormat="1" applyFont="1" applyBorder="1" applyAlignment="1">
      <alignment horizontal="center" vertical="center"/>
    </xf>
    <xf numFmtId="2" fontId="12" fillId="0" borderId="3" xfId="1" applyNumberFormat="1" applyFont="1" applyBorder="1" applyAlignment="1">
      <alignment horizontal="center" vertical="center"/>
    </xf>
    <xf numFmtId="0" fontId="22" fillId="2" borderId="2" xfId="1" applyFont="1" applyFill="1" applyBorder="1" applyAlignment="1">
      <alignment horizontal="center" vertical="center"/>
    </xf>
    <xf numFmtId="0" fontId="22" fillId="2" borderId="3" xfId="1" applyFont="1" applyFill="1" applyBorder="1" applyAlignment="1">
      <alignment horizontal="center" vertical="center"/>
    </xf>
    <xf numFmtId="0" fontId="22" fillId="2" borderId="11" xfId="1" applyFont="1" applyFill="1" applyBorder="1" applyAlignment="1">
      <alignment horizontal="center" vertical="center"/>
    </xf>
    <xf numFmtId="0" fontId="21" fillId="2" borderId="12" xfId="1" applyFont="1" applyFill="1" applyBorder="1" applyAlignment="1">
      <alignment horizontal="center" vertical="center"/>
    </xf>
    <xf numFmtId="0" fontId="21" fillId="2" borderId="13" xfId="1" applyFont="1" applyFill="1" applyBorder="1" applyAlignment="1">
      <alignment horizontal="center" vertical="center"/>
    </xf>
    <xf numFmtId="0" fontId="22" fillId="2" borderId="12" xfId="1" applyFont="1" applyFill="1" applyBorder="1" applyAlignment="1">
      <alignment horizontal="center" vertical="center"/>
    </xf>
    <xf numFmtId="0" fontId="22" fillId="2" borderId="13" xfId="1" applyFont="1" applyFill="1" applyBorder="1" applyAlignment="1">
      <alignment horizontal="center" vertical="center"/>
    </xf>
    <xf numFmtId="0" fontId="21" fillId="0" borderId="10" xfId="1" applyFont="1" applyBorder="1" applyAlignment="1">
      <alignment horizontal="center" vertical="center"/>
    </xf>
    <xf numFmtId="0" fontId="11" fillId="0" borderId="5" xfId="1" applyBorder="1" applyAlignment="1">
      <alignment horizontal="center" vertical="center"/>
    </xf>
    <xf numFmtId="0" fontId="11" fillId="0" borderId="3" xfId="1" applyBorder="1" applyAlignment="1">
      <alignment vertical="center"/>
    </xf>
    <xf numFmtId="0" fontId="22" fillId="2" borderId="10" xfId="1" applyFont="1" applyFill="1" applyBorder="1" applyAlignment="1">
      <alignment horizontal="center" vertical="center" wrapText="1"/>
    </xf>
    <xf numFmtId="0" fontId="12" fillId="2" borderId="5" xfId="1" applyFont="1" applyFill="1" applyBorder="1" applyAlignment="1">
      <alignment horizontal="center" vertical="center" wrapText="1"/>
    </xf>
    <xf numFmtId="0" fontId="12" fillId="2" borderId="2" xfId="1" applyFont="1" applyFill="1" applyBorder="1" applyAlignment="1">
      <alignment horizontal="center" vertical="center"/>
    </xf>
    <xf numFmtId="0" fontId="12" fillId="2" borderId="3" xfId="1" applyFont="1" applyFill="1" applyBorder="1" applyAlignment="1">
      <alignment horizontal="center" vertical="center"/>
    </xf>
    <xf numFmtId="0" fontId="11" fillId="0" borderId="2" xfId="1" applyBorder="1" applyAlignment="1">
      <alignment horizontal="center" vertical="center"/>
    </xf>
    <xf numFmtId="0" fontId="11" fillId="0" borderId="3" xfId="1" applyBorder="1" applyAlignment="1">
      <alignment horizontal="center" vertical="center"/>
    </xf>
    <xf numFmtId="0" fontId="22" fillId="2" borderId="5" xfId="1" applyFont="1" applyFill="1" applyBorder="1" applyAlignment="1">
      <alignment horizontal="center" vertical="center" wrapText="1"/>
    </xf>
    <xf numFmtId="0" fontId="21" fillId="0" borderId="2" xfId="1" applyFont="1" applyBorder="1" applyAlignment="1">
      <alignment horizontal="center" vertical="center"/>
    </xf>
    <xf numFmtId="0" fontId="28" fillId="0" borderId="0" xfId="1" applyFont="1" applyAlignment="1">
      <alignment horizontal="center"/>
    </xf>
    <xf numFmtId="0" fontId="22" fillId="2" borderId="1" xfId="1" applyFont="1" applyFill="1" applyBorder="1" applyAlignment="1">
      <alignment horizontal="center"/>
    </xf>
    <xf numFmtId="0" fontId="11" fillId="2" borderId="2" xfId="1" applyFill="1" applyBorder="1" applyAlignment="1">
      <alignment horizontal="center"/>
    </xf>
    <xf numFmtId="0" fontId="11" fillId="2" borderId="3" xfId="1" applyFill="1" applyBorder="1" applyAlignment="1">
      <alignment horizontal="center"/>
    </xf>
    <xf numFmtId="0" fontId="64" fillId="3" borderId="11" xfId="5" applyFont="1" applyFill="1" applyBorder="1" applyAlignment="1">
      <alignment horizontal="center" vertical="center"/>
    </xf>
    <xf numFmtId="0" fontId="64" fillId="3" borderId="2" xfId="5" applyFont="1" applyFill="1" applyBorder="1" applyAlignment="1">
      <alignment horizontal="center" vertical="center"/>
    </xf>
    <xf numFmtId="0" fontId="64" fillId="3" borderId="3" xfId="5" applyFont="1" applyFill="1" applyBorder="1" applyAlignment="1">
      <alignment horizontal="center" vertical="center"/>
    </xf>
    <xf numFmtId="0" fontId="64" fillId="0" borderId="1" xfId="5" applyFont="1" applyBorder="1" applyAlignment="1">
      <alignment horizontal="center" vertical="center" shrinkToFit="1"/>
    </xf>
    <xf numFmtId="0" fontId="64" fillId="0" borderId="3" xfId="5" applyFont="1" applyBorder="1" applyAlignment="1">
      <alignment horizontal="center" vertical="center" shrinkToFit="1"/>
    </xf>
    <xf numFmtId="0" fontId="64" fillId="3" borderId="1" xfId="5" applyFont="1" applyFill="1" applyBorder="1" applyAlignment="1">
      <alignment horizontal="center" vertical="center" shrinkToFit="1"/>
    </xf>
    <xf numFmtId="0" fontId="64" fillId="3" borderId="3" xfId="5" applyFont="1" applyFill="1" applyBorder="1" applyAlignment="1">
      <alignment horizontal="center" vertical="center" shrinkToFit="1"/>
    </xf>
    <xf numFmtId="0" fontId="64" fillId="0" borderId="1" xfId="5" applyFont="1" applyBorder="1" applyAlignment="1">
      <alignment horizontal="center" vertical="center"/>
    </xf>
    <xf numFmtId="0" fontId="64" fillId="0" borderId="2" xfId="5" applyFont="1" applyBorder="1" applyAlignment="1">
      <alignment horizontal="center" vertical="center"/>
    </xf>
    <xf numFmtId="0" fontId="64" fillId="0" borderId="3" xfId="5" applyFont="1" applyBorder="1" applyAlignment="1">
      <alignment horizontal="center" vertical="center"/>
    </xf>
    <xf numFmtId="166" fontId="66" fillId="3" borderId="1" xfId="5" applyNumberFormat="1" applyFont="1" applyFill="1" applyBorder="1" applyAlignment="1">
      <alignment horizontal="center" vertical="center"/>
    </xf>
    <xf numFmtId="0" fontId="63" fillId="3" borderId="2" xfId="5" applyFill="1" applyBorder="1" applyAlignment="1">
      <alignment vertical="center"/>
    </xf>
    <xf numFmtId="0" fontId="63" fillId="3" borderId="3" xfId="5" applyFill="1" applyBorder="1" applyAlignment="1">
      <alignment vertical="center"/>
    </xf>
    <xf numFmtId="0" fontId="63" fillId="3" borderId="2" xfId="5" applyFill="1" applyBorder="1" applyAlignment="1">
      <alignment horizontal="center" vertical="center"/>
    </xf>
    <xf numFmtId="0" fontId="63" fillId="3" borderId="3" xfId="5" applyFill="1" applyBorder="1" applyAlignment="1">
      <alignment horizontal="center" vertical="center"/>
    </xf>
    <xf numFmtId="0" fontId="64" fillId="0" borderId="1" xfId="5" applyFont="1" applyBorder="1" applyAlignment="1">
      <alignment horizontal="center"/>
    </xf>
    <xf numFmtId="0" fontId="64" fillId="0" borderId="2" xfId="5" applyFont="1" applyBorder="1" applyAlignment="1">
      <alignment horizontal="center"/>
    </xf>
    <xf numFmtId="0" fontId="64" fillId="0" borderId="3" xfId="5" applyFont="1" applyBorder="1" applyAlignment="1">
      <alignment horizontal="center"/>
    </xf>
    <xf numFmtId="0" fontId="12" fillId="2" borderId="1" xfId="1" applyFont="1" applyFill="1" applyBorder="1" applyAlignment="1">
      <alignment horizontal="center" vertical="center"/>
    </xf>
    <xf numFmtId="0" fontId="11" fillId="2" borderId="5" xfId="1" applyFill="1" applyBorder="1" applyAlignment="1">
      <alignment vertical="center"/>
    </xf>
    <xf numFmtId="0" fontId="11" fillId="0" borderId="11" xfId="1" applyBorder="1" applyAlignment="1">
      <alignment horizontal="left"/>
    </xf>
    <xf numFmtId="0" fontId="11" fillId="0" borderId="12" xfId="1" applyBorder="1" applyAlignment="1">
      <alignment horizontal="left"/>
    </xf>
    <xf numFmtId="0" fontId="11" fillId="0" borderId="13" xfId="1" applyBorder="1" applyAlignment="1">
      <alignment horizontal="left"/>
    </xf>
    <xf numFmtId="0" fontId="11" fillId="0" borderId="15" xfId="1" applyBorder="1" applyAlignment="1">
      <alignment horizontal="left"/>
    </xf>
    <xf numFmtId="0" fontId="11" fillId="0" borderId="0" xfId="1" applyAlignment="1">
      <alignment horizontal="left"/>
    </xf>
    <xf numFmtId="0" fontId="11" fillId="0" borderId="14" xfId="1" applyBorder="1" applyAlignment="1">
      <alignment horizontal="left"/>
    </xf>
    <xf numFmtId="0" fontId="11" fillId="0" borderId="7" xfId="1" applyBorder="1" applyAlignment="1">
      <alignment horizontal="left"/>
    </xf>
    <xf numFmtId="0" fontId="11" fillId="0" borderId="6" xfId="1" applyBorder="1" applyAlignment="1">
      <alignment horizontal="left"/>
    </xf>
    <xf numFmtId="0" fontId="11" fillId="0" borderId="8" xfId="1" applyBorder="1" applyAlignment="1">
      <alignment horizontal="left"/>
    </xf>
    <xf numFmtId="0" fontId="12" fillId="2" borderId="15" xfId="1" applyFont="1" applyFill="1" applyBorder="1" applyAlignment="1">
      <alignment horizontal="center" shrinkToFit="1"/>
    </xf>
    <xf numFmtId="0" fontId="12" fillId="2" borderId="14" xfId="1" applyFont="1" applyFill="1" applyBorder="1" applyAlignment="1">
      <alignment horizontal="center"/>
    </xf>
    <xf numFmtId="0" fontId="12" fillId="2" borderId="15" xfId="1" applyFont="1" applyFill="1" applyBorder="1" applyAlignment="1">
      <alignment horizontal="center"/>
    </xf>
    <xf numFmtId="0" fontId="11" fillId="0" borderId="1" xfId="1" applyBorder="1" applyAlignment="1">
      <alignment horizontal="left"/>
    </xf>
    <xf numFmtId="0" fontId="11" fillId="0" borderId="2" xfId="1" applyBorder="1" applyAlignment="1">
      <alignment horizontal="left"/>
    </xf>
    <xf numFmtId="0" fontId="11" fillId="0" borderId="3" xfId="1" applyBorder="1" applyAlignment="1">
      <alignment horizontal="left"/>
    </xf>
    <xf numFmtId="0" fontId="11" fillId="2" borderId="7" xfId="1" applyFill="1" applyBorder="1" applyAlignment="1">
      <alignment horizontal="center"/>
    </xf>
    <xf numFmtId="0" fontId="11" fillId="2" borderId="8" xfId="1" applyFill="1" applyBorder="1" applyAlignment="1">
      <alignment horizontal="center"/>
    </xf>
    <xf numFmtId="0" fontId="12" fillId="2" borderId="20" xfId="1" applyFont="1" applyFill="1" applyBorder="1" applyAlignment="1">
      <alignment horizontal="center" shrinkToFit="1"/>
    </xf>
    <xf numFmtId="0" fontId="12" fillId="2" borderId="19" xfId="1" applyFont="1" applyFill="1" applyBorder="1" applyAlignment="1">
      <alignment horizontal="center" shrinkToFit="1"/>
    </xf>
    <xf numFmtId="0" fontId="12" fillId="2" borderId="20" xfId="1" applyFont="1" applyFill="1" applyBorder="1" applyAlignment="1">
      <alignment horizontal="center"/>
    </xf>
    <xf numFmtId="0" fontId="12" fillId="2" borderId="19" xfId="1" applyFont="1" applyFill="1" applyBorder="1" applyAlignment="1">
      <alignment horizontal="center"/>
    </xf>
    <xf numFmtId="0" fontId="12" fillId="2" borderId="7" xfId="1" applyFont="1" applyFill="1" applyBorder="1" applyAlignment="1">
      <alignment horizontal="center"/>
    </xf>
    <xf numFmtId="0" fontId="12" fillId="2" borderId="8" xfId="1" applyFont="1" applyFill="1" applyBorder="1" applyAlignment="1">
      <alignment horizontal="center"/>
    </xf>
    <xf numFmtId="0" fontId="2" fillId="2" borderId="2" xfId="0" applyFont="1" applyFill="1" applyBorder="1"/>
    <xf numFmtId="0" fontId="2" fillId="2" borderId="3" xfId="0" applyFont="1" applyFill="1" applyBorder="1"/>
    <xf numFmtId="0" fontId="0" fillId="0" borderId="2" xfId="0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shrinkToFit="1"/>
    </xf>
    <xf numFmtId="0" fontId="5" fillId="2" borderId="13" xfId="0" applyFont="1" applyFill="1" applyBorder="1" applyAlignment="1">
      <alignment horizontal="center" vertical="center"/>
    </xf>
    <xf numFmtId="0" fontId="12" fillId="2" borderId="2" xfId="1" applyFont="1" applyFill="1" applyBorder="1"/>
    <xf numFmtId="0" fontId="12" fillId="2" borderId="3" xfId="1" applyFont="1" applyFill="1" applyBorder="1"/>
    <xf numFmtId="0" fontId="12" fillId="2" borderId="24" xfId="1" applyFont="1" applyFill="1" applyBorder="1" applyAlignment="1">
      <alignment horizontal="center"/>
    </xf>
    <xf numFmtId="0" fontId="11" fillId="2" borderId="0" xfId="1" applyFill="1"/>
    <xf numFmtId="0" fontId="12" fillId="2" borderId="25" xfId="1" applyFont="1" applyFill="1" applyBorder="1" applyAlignment="1">
      <alignment horizontal="center"/>
    </xf>
    <xf numFmtId="1" fontId="11" fillId="0" borderId="15" xfId="1" applyNumberFormat="1" applyBorder="1"/>
    <xf numFmtId="1" fontId="12" fillId="2" borderId="7" xfId="1" applyNumberFormat="1" applyFont="1" applyFill="1" applyBorder="1" applyAlignment="1">
      <alignment horizontal="center"/>
    </xf>
    <xf numFmtId="1" fontId="11" fillId="0" borderId="0" xfId="1" applyNumberFormat="1"/>
    <xf numFmtId="0" fontId="12" fillId="0" borderId="5" xfId="1" applyFont="1" applyBorder="1" applyAlignment="1">
      <alignment horizontal="center" vertical="center" wrapText="1"/>
    </xf>
    <xf numFmtId="0" fontId="12" fillId="2" borderId="1" xfId="1" applyFont="1" applyFill="1" applyBorder="1" applyAlignment="1">
      <alignment horizontal="center" vertical="center" wrapText="1"/>
    </xf>
    <xf numFmtId="0" fontId="12" fillId="2" borderId="2" xfId="1" applyFont="1" applyFill="1" applyBorder="1" applyAlignment="1">
      <alignment horizontal="center" vertical="center" wrapText="1"/>
    </xf>
    <xf numFmtId="0" fontId="12" fillId="2" borderId="3" xfId="1" applyFont="1" applyFill="1" applyBorder="1" applyAlignment="1">
      <alignment horizontal="center" vertical="center" wrapText="1"/>
    </xf>
    <xf numFmtId="0" fontId="12" fillId="2" borderId="24" xfId="1" applyFont="1" applyFill="1" applyBorder="1" applyAlignment="1">
      <alignment horizontal="center" vertical="center"/>
    </xf>
    <xf numFmtId="0" fontId="69" fillId="2" borderId="2" xfId="1" applyFont="1" applyFill="1" applyBorder="1" applyAlignment="1">
      <alignment horizontal="center" vertical="center"/>
    </xf>
    <xf numFmtId="1" fontId="12" fillId="2" borderId="25" xfId="1" applyNumberFormat="1" applyFont="1" applyFill="1" applyBorder="1" applyAlignment="1">
      <alignment horizontal="center" vertical="center"/>
    </xf>
    <xf numFmtId="1" fontId="12" fillId="2" borderId="3" xfId="1" applyNumberFormat="1" applyFont="1" applyFill="1" applyBorder="1" applyAlignment="1">
      <alignment horizontal="center" vertical="center"/>
    </xf>
    <xf numFmtId="1" fontId="12" fillId="2" borderId="1" xfId="1" applyNumberFormat="1" applyFont="1" applyFill="1" applyBorder="1" applyAlignment="1">
      <alignment horizontal="center" vertical="center"/>
    </xf>
    <xf numFmtId="1" fontId="12" fillId="2" borderId="24" xfId="1" applyNumberFormat="1" applyFont="1" applyFill="1" applyBorder="1" applyAlignment="1">
      <alignment horizontal="center" vertical="center"/>
    </xf>
    <xf numFmtId="1" fontId="69" fillId="0" borderId="10" xfId="1" applyNumberFormat="1" applyFont="1" applyBorder="1" applyAlignment="1">
      <alignment horizontal="center" vertical="center"/>
    </xf>
    <xf numFmtId="1" fontId="12" fillId="0" borderId="1" xfId="1" applyNumberFormat="1" applyFont="1" applyBorder="1" applyAlignment="1">
      <alignment horizontal="center" vertical="center"/>
    </xf>
    <xf numFmtId="1" fontId="12" fillId="0" borderId="3" xfId="1" applyNumberFormat="1" applyFont="1" applyBorder="1" applyAlignment="1">
      <alignment horizontal="center" vertical="center"/>
    </xf>
    <xf numFmtId="166" fontId="11" fillId="0" borderId="11" xfId="1" applyNumberFormat="1" applyBorder="1" applyAlignment="1">
      <alignment horizontal="right"/>
    </xf>
    <xf numFmtId="166" fontId="11" fillId="0" borderId="12" xfId="1" applyNumberFormat="1" applyBorder="1" applyAlignment="1">
      <alignment horizontal="right"/>
    </xf>
    <xf numFmtId="166" fontId="11" fillId="0" borderId="13" xfId="1" applyNumberFormat="1" applyBorder="1" applyAlignment="1">
      <alignment horizontal="right"/>
    </xf>
    <xf numFmtId="166" fontId="11" fillId="2" borderId="9" xfId="1" applyNumberFormat="1" applyFill="1" applyBorder="1" applyAlignment="1">
      <alignment horizontal="right"/>
    </xf>
    <xf numFmtId="166" fontId="11" fillId="2" borderId="12" xfId="1" applyNumberFormat="1" applyFill="1" applyBorder="1" applyAlignment="1">
      <alignment horizontal="right"/>
    </xf>
    <xf numFmtId="166" fontId="11" fillId="2" borderId="13" xfId="1" applyNumberFormat="1" applyFill="1" applyBorder="1" applyAlignment="1">
      <alignment horizontal="right"/>
    </xf>
    <xf numFmtId="166" fontId="11" fillId="2" borderId="15" xfId="1" applyNumberFormat="1" applyFill="1" applyBorder="1" applyAlignment="1">
      <alignment horizontal="right"/>
    </xf>
    <xf numFmtId="166" fontId="11" fillId="2" borderId="14" xfId="1" applyNumberFormat="1" applyFill="1" applyBorder="1" applyAlignment="1">
      <alignment horizontal="right"/>
    </xf>
    <xf numFmtId="166" fontId="11" fillId="2" borderId="7" xfId="1" applyNumberFormat="1" applyFill="1" applyBorder="1" applyAlignment="1">
      <alignment horizontal="right"/>
    </xf>
    <xf numFmtId="166" fontId="11" fillId="2" borderId="6" xfId="1" applyNumberFormat="1" applyFill="1" applyBorder="1" applyAlignment="1">
      <alignment horizontal="right"/>
    </xf>
    <xf numFmtId="166" fontId="11" fillId="0" borderId="26" xfId="1" applyNumberFormat="1" applyBorder="1" applyAlignment="1">
      <alignment horizontal="right"/>
    </xf>
    <xf numFmtId="166" fontId="11" fillId="0" borderId="15" xfId="1" applyNumberFormat="1" applyBorder="1" applyAlignment="1">
      <alignment horizontal="right"/>
    </xf>
    <xf numFmtId="166" fontId="11" fillId="0" borderId="0" xfId="1" applyNumberFormat="1" applyAlignment="1">
      <alignment horizontal="right"/>
    </xf>
    <xf numFmtId="166" fontId="11" fillId="0" borderId="27" xfId="1" applyNumberFormat="1" applyBorder="1" applyAlignment="1">
      <alignment horizontal="right"/>
    </xf>
    <xf numFmtId="0" fontId="11" fillId="2" borderId="11" xfId="1" applyFill="1" applyBorder="1" applyAlignment="1">
      <alignment horizontal="center"/>
    </xf>
    <xf numFmtId="166" fontId="11" fillId="2" borderId="11" xfId="1" applyNumberFormat="1" applyFill="1" applyBorder="1" applyAlignment="1">
      <alignment horizontal="right"/>
    </xf>
    <xf numFmtId="166" fontId="11" fillId="2" borderId="26" xfId="1" applyNumberFormat="1" applyFill="1" applyBorder="1" applyAlignment="1">
      <alignment horizontal="right"/>
    </xf>
    <xf numFmtId="0" fontId="11" fillId="2" borderId="15" xfId="1" applyFill="1" applyBorder="1" applyAlignment="1">
      <alignment horizontal="center"/>
    </xf>
    <xf numFmtId="166" fontId="11" fillId="2" borderId="0" xfId="1" applyNumberFormat="1" applyFill="1" applyAlignment="1">
      <alignment horizontal="right"/>
    </xf>
    <xf numFmtId="166" fontId="11" fillId="2" borderId="27" xfId="1" applyNumberFormat="1" applyFill="1" applyBorder="1" applyAlignment="1">
      <alignment horizontal="right"/>
    </xf>
    <xf numFmtId="166" fontId="11" fillId="2" borderId="28" xfId="1" applyNumberFormat="1" applyFill="1" applyBorder="1" applyAlignment="1">
      <alignment horizontal="right"/>
    </xf>
    <xf numFmtId="166" fontId="11" fillId="0" borderId="7" xfId="1" applyNumberFormat="1" applyBorder="1" applyAlignment="1">
      <alignment horizontal="right"/>
    </xf>
    <xf numFmtId="166" fontId="11" fillId="0" borderId="6" xfId="1" applyNumberFormat="1" applyBorder="1" applyAlignment="1">
      <alignment horizontal="right"/>
    </xf>
    <xf numFmtId="166" fontId="11" fillId="0" borderId="28" xfId="1" applyNumberFormat="1" applyBorder="1" applyAlignment="1">
      <alignment horizontal="right"/>
    </xf>
    <xf numFmtId="166" fontId="11" fillId="0" borderId="29" xfId="1" applyNumberFormat="1" applyBorder="1" applyAlignment="1">
      <alignment horizontal="right"/>
    </xf>
    <xf numFmtId="1" fontId="11" fillId="2" borderId="9" xfId="1" applyNumberFormat="1" applyFill="1" applyBorder="1" applyAlignment="1">
      <alignment horizontal="right"/>
    </xf>
    <xf numFmtId="2" fontId="11" fillId="2" borderId="1" xfId="1" applyNumberFormat="1" applyFill="1" applyBorder="1" applyAlignment="1">
      <alignment horizontal="right"/>
    </xf>
    <xf numFmtId="2" fontId="11" fillId="2" borderId="3" xfId="1" applyNumberFormat="1" applyFill="1" applyBorder="1" applyAlignment="1">
      <alignment horizontal="right"/>
    </xf>
    <xf numFmtId="166" fontId="11" fillId="0" borderId="14" xfId="1" applyNumberFormat="1" applyBorder="1" applyAlignment="1">
      <alignment horizontal="right"/>
    </xf>
    <xf numFmtId="166" fontId="11" fillId="0" borderId="30" xfId="1" applyNumberFormat="1" applyBorder="1" applyAlignment="1">
      <alignment horizontal="right"/>
    </xf>
    <xf numFmtId="1" fontId="11" fillId="0" borderId="4" xfId="1" applyNumberFormat="1" applyBorder="1" applyAlignment="1">
      <alignment horizontal="right"/>
    </xf>
    <xf numFmtId="2" fontId="11" fillId="0" borderId="15" xfId="1" applyNumberFormat="1" applyBorder="1" applyAlignment="1">
      <alignment horizontal="right"/>
    </xf>
    <xf numFmtId="2" fontId="11" fillId="0" borderId="14" xfId="1" applyNumberFormat="1" applyBorder="1" applyAlignment="1">
      <alignment horizontal="right"/>
    </xf>
    <xf numFmtId="0" fontId="12" fillId="0" borderId="1" xfId="1" applyFont="1" applyBorder="1" applyAlignment="1">
      <alignment horizontal="center" vertical="center"/>
    </xf>
    <xf numFmtId="0" fontId="12" fillId="0" borderId="2" xfId="1" applyFont="1" applyBorder="1" applyAlignment="1">
      <alignment horizontal="center" vertical="center"/>
    </xf>
    <xf numFmtId="0" fontId="12" fillId="0" borderId="3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2" fillId="0" borderId="3" xfId="1" applyFont="1" applyBorder="1" applyAlignment="1">
      <alignment horizontal="center" vertical="center" wrapText="1"/>
    </xf>
    <xf numFmtId="166" fontId="11" fillId="2" borderId="29" xfId="1" applyNumberFormat="1" applyFill="1" applyBorder="1" applyAlignment="1">
      <alignment horizontal="right"/>
    </xf>
    <xf numFmtId="0" fontId="12" fillId="2" borderId="0" xfId="1" applyFont="1" applyFill="1" applyAlignment="1">
      <alignment horizontal="center"/>
    </xf>
    <xf numFmtId="0" fontId="12" fillId="0" borderId="3" xfId="1" applyFont="1" applyBorder="1" applyAlignment="1">
      <alignment horizontal="center"/>
    </xf>
    <xf numFmtId="166" fontId="11" fillId="0" borderId="9" xfId="1" applyNumberFormat="1" applyBorder="1" applyAlignment="1">
      <alignment horizontal="right"/>
    </xf>
    <xf numFmtId="166" fontId="11" fillId="2" borderId="30" xfId="1" applyNumberFormat="1" applyFill="1" applyBorder="1" applyAlignment="1">
      <alignment horizontal="right"/>
    </xf>
    <xf numFmtId="0" fontId="12" fillId="0" borderId="14" xfId="1" applyFont="1" applyBorder="1" applyAlignment="1">
      <alignment horizontal="center"/>
    </xf>
    <xf numFmtId="0" fontId="12" fillId="2" borderId="6" xfId="1" applyFont="1" applyFill="1" applyBorder="1" applyAlignment="1">
      <alignment horizontal="center"/>
    </xf>
    <xf numFmtId="166" fontId="11" fillId="2" borderId="8" xfId="1" applyNumberFormat="1" applyFill="1" applyBorder="1" applyAlignment="1">
      <alignment horizontal="right"/>
    </xf>
    <xf numFmtId="0" fontId="12" fillId="0" borderId="8" xfId="1" applyFont="1" applyBorder="1" applyAlignment="1">
      <alignment horizontal="center"/>
    </xf>
    <xf numFmtId="166" fontId="11" fillId="2" borderId="31" xfId="1" applyNumberFormat="1" applyFill="1" applyBorder="1" applyAlignment="1">
      <alignment horizontal="right"/>
    </xf>
    <xf numFmtId="166" fontId="11" fillId="2" borderId="9" xfId="1" applyNumberFormat="1" applyFill="1" applyBorder="1" applyAlignment="1">
      <alignment horizontal="center"/>
    </xf>
    <xf numFmtId="166" fontId="11" fillId="2" borderId="12" xfId="1" applyNumberFormat="1" applyFill="1" applyBorder="1" applyAlignment="1">
      <alignment horizontal="center"/>
    </xf>
    <xf numFmtId="166" fontId="11" fillId="2" borderId="13" xfId="1" applyNumberFormat="1" applyFill="1" applyBorder="1" applyAlignment="1">
      <alignment horizontal="center"/>
    </xf>
    <xf numFmtId="166" fontId="11" fillId="2" borderId="15" xfId="1" applyNumberFormat="1" applyFill="1" applyBorder="1" applyAlignment="1">
      <alignment horizontal="center"/>
    </xf>
    <xf numFmtId="166" fontId="11" fillId="2" borderId="14" xfId="1" applyNumberFormat="1" applyFill="1" applyBorder="1" applyAlignment="1">
      <alignment horizontal="center"/>
    </xf>
    <xf numFmtId="166" fontId="11" fillId="2" borderId="7" xfId="1" applyNumberFormat="1" applyFill="1" applyBorder="1" applyAlignment="1">
      <alignment horizontal="center"/>
    </xf>
    <xf numFmtId="166" fontId="11" fillId="2" borderId="6" xfId="1" applyNumberFormat="1" applyFill="1" applyBorder="1" applyAlignment="1">
      <alignment horizontal="center"/>
    </xf>
    <xf numFmtId="166" fontId="11" fillId="0" borderId="8" xfId="1" applyNumberFormat="1" applyBorder="1" applyAlignment="1">
      <alignment horizontal="right"/>
    </xf>
    <xf numFmtId="166" fontId="11" fillId="0" borderId="31" xfId="1" applyNumberFormat="1" applyBorder="1" applyAlignment="1">
      <alignment horizontal="right"/>
    </xf>
    <xf numFmtId="0" fontId="12" fillId="2" borderId="32" xfId="1" applyFont="1" applyFill="1" applyBorder="1" applyAlignment="1">
      <alignment horizontal="center"/>
    </xf>
    <xf numFmtId="1" fontId="11" fillId="2" borderId="9" xfId="1" applyNumberFormat="1" applyFill="1" applyBorder="1"/>
    <xf numFmtId="2" fontId="11" fillId="2" borderId="1" xfId="1" applyNumberFormat="1" applyFill="1" applyBorder="1"/>
    <xf numFmtId="0" fontId="12" fillId="0" borderId="13" xfId="1" applyFont="1" applyBorder="1" applyAlignment="1">
      <alignment horizontal="center"/>
    </xf>
    <xf numFmtId="166" fontId="11" fillId="2" borderId="11" xfId="1" applyNumberFormat="1" applyFill="1" applyBorder="1" applyAlignment="1">
      <alignment horizontal="center"/>
    </xf>
    <xf numFmtId="166" fontId="11" fillId="2" borderId="26" xfId="1" applyNumberFormat="1" applyFill="1" applyBorder="1" applyAlignment="1">
      <alignment horizontal="center"/>
    </xf>
    <xf numFmtId="0" fontId="12" fillId="0" borderId="10" xfId="1" applyFont="1" applyBorder="1" applyAlignment="1">
      <alignment horizontal="center" vertical="center" wrapText="1"/>
    </xf>
    <xf numFmtId="166" fontId="11" fillId="2" borderId="0" xfId="1" applyNumberFormat="1" applyFill="1" applyAlignment="1">
      <alignment horizontal="center"/>
    </xf>
    <xf numFmtId="166" fontId="11" fillId="2" borderId="27" xfId="1" applyNumberFormat="1" applyFill="1" applyBorder="1" applyAlignment="1">
      <alignment horizontal="center"/>
    </xf>
    <xf numFmtId="166" fontId="11" fillId="2" borderId="8" xfId="1" applyNumberFormat="1" applyFill="1" applyBorder="1" applyAlignment="1">
      <alignment horizontal="center"/>
    </xf>
    <xf numFmtId="1" fontId="11" fillId="2" borderId="25" xfId="1" applyNumberFormat="1" applyFill="1" applyBorder="1" applyAlignment="1">
      <alignment horizontal="center"/>
    </xf>
    <xf numFmtId="1" fontId="11" fillId="2" borderId="2" xfId="1" applyNumberFormat="1" applyFill="1" applyBorder="1" applyAlignment="1">
      <alignment horizontal="center"/>
    </xf>
    <xf numFmtId="1" fontId="11" fillId="2" borderId="1" xfId="1" applyNumberFormat="1" applyFill="1" applyBorder="1" applyAlignment="1">
      <alignment horizontal="center"/>
    </xf>
    <xf numFmtId="1" fontId="11" fillId="2" borderId="3" xfId="1" applyNumberFormat="1" applyFill="1" applyBorder="1" applyAlignment="1">
      <alignment horizontal="center"/>
    </xf>
    <xf numFmtId="1" fontId="11" fillId="2" borderId="24" xfId="1" applyNumberFormat="1" applyFill="1" applyBorder="1" applyAlignment="1">
      <alignment horizontal="center"/>
    </xf>
    <xf numFmtId="166" fontId="11" fillId="2" borderId="25" xfId="1" applyNumberFormat="1" applyFill="1" applyBorder="1" applyAlignment="1">
      <alignment horizontal="right"/>
    </xf>
    <xf numFmtId="166" fontId="11" fillId="2" borderId="2" xfId="1" applyNumberFormat="1" applyFill="1" applyBorder="1" applyAlignment="1">
      <alignment horizontal="right"/>
    </xf>
    <xf numFmtId="166" fontId="11" fillId="2" borderId="1" xfId="1" applyNumberFormat="1" applyFill="1" applyBorder="1" applyAlignment="1">
      <alignment horizontal="right"/>
    </xf>
    <xf numFmtId="166" fontId="11" fillId="2" borderId="3" xfId="1" applyNumberFormat="1" applyFill="1" applyBorder="1" applyAlignment="1">
      <alignment horizontal="right"/>
    </xf>
    <xf numFmtId="166" fontId="11" fillId="2" borderId="24" xfId="1" applyNumberFormat="1" applyFill="1" applyBorder="1" applyAlignment="1">
      <alignment horizontal="right"/>
    </xf>
    <xf numFmtId="166" fontId="11" fillId="2" borderId="28" xfId="1" applyNumberFormat="1" applyFill="1" applyBorder="1" applyAlignment="1">
      <alignment horizontal="center"/>
    </xf>
    <xf numFmtId="166" fontId="11" fillId="2" borderId="33" xfId="1" applyNumberFormat="1" applyFill="1" applyBorder="1" applyAlignment="1">
      <alignment horizontal="center"/>
    </xf>
    <xf numFmtId="0" fontId="11" fillId="0" borderId="24" xfId="1" applyBorder="1" applyAlignment="1">
      <alignment horizontal="center"/>
    </xf>
    <xf numFmtId="0" fontId="12" fillId="0" borderId="3" xfId="1" applyFont="1" applyBorder="1" applyAlignment="1">
      <alignment horizontal="center" vertical="center"/>
    </xf>
    <xf numFmtId="0" fontId="69" fillId="0" borderId="34" xfId="1" applyFont="1" applyBorder="1" applyAlignment="1">
      <alignment horizontal="center" vertical="center"/>
    </xf>
    <xf numFmtId="166" fontId="11" fillId="0" borderId="1" xfId="1" applyNumberFormat="1" applyBorder="1" applyAlignment="1">
      <alignment horizontal="center"/>
    </xf>
    <xf numFmtId="0" fontId="12" fillId="0" borderId="9" xfId="1" applyFont="1" applyBorder="1" applyAlignment="1">
      <alignment horizontal="right"/>
    </xf>
    <xf numFmtId="166" fontId="11" fillId="0" borderId="24" xfId="1" applyNumberFormat="1" applyBorder="1" applyAlignment="1">
      <alignment horizontal="center"/>
    </xf>
    <xf numFmtId="166" fontId="11" fillId="0" borderId="3" xfId="1" applyNumberFormat="1" applyBorder="1" applyAlignment="1">
      <alignment horizontal="right"/>
    </xf>
    <xf numFmtId="166" fontId="11" fillId="0" borderId="34" xfId="1" applyNumberFormat="1" applyBorder="1" applyAlignment="1">
      <alignment horizontal="right"/>
    </xf>
    <xf numFmtId="0" fontId="12" fillId="0" borderId="0" xfId="1" applyFont="1" applyAlignment="1">
      <alignment horizontal="center"/>
    </xf>
    <xf numFmtId="0" fontId="11" fillId="0" borderId="0" xfId="1"/>
  </cellXfs>
  <cellStyles count="6">
    <cellStyle name="Hyperlink" xfId="4" builtinId="8"/>
    <cellStyle name="Normal" xfId="0" builtinId="0"/>
    <cellStyle name="Normal 2" xfId="1" xr:uid="{40FB6A2D-0FA9-41A7-9E15-6C33AB4F0367}"/>
    <cellStyle name="Normal 2 2" xfId="3" xr:uid="{93BAC3FC-13EE-4243-A6CC-A1E46E6F0005}"/>
    <cellStyle name="Normal 2 3" xfId="5" xr:uid="{D2E65C00-74F6-1D42-8267-83FFDAAE7664}"/>
    <cellStyle name="Normal 3" xfId="2" xr:uid="{8100D867-1F81-4977-BB4A-4A2815E697AC}"/>
  </cellStyles>
  <dxfs count="75">
    <dxf>
      <font>
        <color theme="0"/>
      </font>
    </dxf>
    <dxf>
      <numFmt numFmtId="1" formatCode="0"/>
    </dxf>
    <dxf>
      <numFmt numFmtId="1" formatCode="0"/>
    </dxf>
    <dxf>
      <font>
        <color theme="0"/>
      </font>
    </dxf>
    <dxf>
      <numFmt numFmtId="1" formatCode="0"/>
    </dxf>
    <dxf>
      <numFmt numFmtId="1" formatCode="0"/>
    </dxf>
    <dxf>
      <font>
        <color theme="0"/>
      </font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" formatCode="0"/>
    </dxf>
    <dxf>
      <numFmt numFmtId="1" formatCode="0"/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/>
      </font>
    </dxf>
    <dxf>
      <font>
        <color theme="0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2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5.xml"/><Relationship Id="rId47" Type="http://schemas.openxmlformats.org/officeDocument/2006/relationships/externalLink" Target="externalLinks/externalLink10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3.xml"/><Relationship Id="rId45" Type="http://schemas.openxmlformats.org/officeDocument/2006/relationships/externalLink" Target="externalLinks/externalLink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6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1.xml"/><Relationship Id="rId46" Type="http://schemas.openxmlformats.org/officeDocument/2006/relationships/externalLink" Target="externalLinks/externalLink9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Actual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'11.5-1,2'!$C$3:$C$11</c:f>
              <c:numCache>
                <c:formatCode>General</c:formatCode>
                <c:ptCount val="9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</c:numCache>
            </c:numRef>
          </c:xVal>
          <c:yVal>
            <c:numRef>
              <c:f>'11.5-1,2'!$L$3:$L$11</c:f>
              <c:numCache>
                <c:formatCode>0.000</c:formatCode>
                <c:ptCount val="9"/>
                <c:pt idx="0">
                  <c:v>3.1031588744443166</c:v>
                </c:pt>
                <c:pt idx="1">
                  <c:v>-1.6311125046603128</c:v>
                </c:pt>
                <c:pt idx="2">
                  <c:v>-4.3254442633728241</c:v>
                </c:pt>
                <c:pt idx="3">
                  <c:v>-4.8011686789397565</c:v>
                </c:pt>
                <c:pt idx="4">
                  <c:v>-4</c:v>
                </c:pt>
                <c:pt idx="5">
                  <c:v>-3.1182267093239635</c:v>
                </c:pt>
                <c:pt idx="6">
                  <c:v>-2.5068494097214606</c:v>
                </c:pt>
                <c:pt idx="7">
                  <c:v>-1.3488724885405781</c:v>
                </c:pt>
                <c:pt idx="8">
                  <c:v>1.5895538838284597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0A9-41F0-8C97-B8AA989C168A}"/>
            </c:ext>
          </c:extLst>
        </c:ser>
        <c:ser>
          <c:idx val="1"/>
          <c:order val="1"/>
          <c:tx>
            <c:v>y hat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'11.5-1,2'!$S$3:$S$23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'11.5-1,2'!$AB$3:$AB$23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0A9-41F0-8C97-B8AA989C16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9266752"/>
        <c:axId val="609268752"/>
      </c:scatterChart>
      <c:valAx>
        <c:axId val="609266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268752"/>
        <c:crosses val="autoZero"/>
        <c:crossBetween val="midCat"/>
      </c:valAx>
      <c:valAx>
        <c:axId val="60926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266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4. Overfire Air, </a:t>
            </a:r>
            <a:r>
              <a:rPr lang="en-US" i="1"/>
              <a:t>p</a:t>
            </a:r>
            <a:r>
              <a:rPr lang="en-US"/>
              <a:t> = 0.3111</a:t>
            </a:r>
          </a:p>
        </c:rich>
      </c:tx>
      <c:layout>
        <c:manualLayout>
          <c:xMode val="edge"/>
          <c:yMode val="edge"/>
          <c:x val="0.31855342381612328"/>
          <c:y val="2.4582104228121928E-2"/>
        </c:manualLayout>
      </c:layout>
      <c:overlay val="0"/>
      <c:spPr>
        <a:solidFill>
          <a:schemeClr val="bg1">
            <a:alpha val="9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0520924467774864E-2"/>
          <c:y val="2.5428331875182269E-2"/>
          <c:w val="0.88533573928258968"/>
          <c:h val="0.89032042869641292"/>
        </c:manualLayout>
      </c:layout>
      <c:scatterChart>
        <c:scatterStyle val="lineMarker"/>
        <c:varyColors val="0"/>
        <c:ser>
          <c:idx val="0"/>
          <c:order val="0"/>
          <c:tx>
            <c:v>Leverage Points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'16.7-1,2,3'!$AH$3:$AH$30</c:f>
              <c:numCache>
                <c:formatCode>0.000</c:formatCode>
                <c:ptCount val="28"/>
                <c:pt idx="0">
                  <c:v>-1.647193302870531E-2</c:v>
                </c:pt>
                <c:pt idx="1">
                  <c:v>-1.0584392775826013E-2</c:v>
                </c:pt>
                <c:pt idx="2">
                  <c:v>1.0521528241643541E-2</c:v>
                </c:pt>
                <c:pt idx="3">
                  <c:v>2.1557675503859786E-2</c:v>
                </c:pt>
                <c:pt idx="4">
                  <c:v>-6.7281984009652795E-3</c:v>
                </c:pt>
                <c:pt idx="5">
                  <c:v>-4.1259758187208728E-3</c:v>
                </c:pt>
                <c:pt idx="6">
                  <c:v>-1.1097796202273136E-2</c:v>
                </c:pt>
                <c:pt idx="7">
                  <c:v>-4.1259758187208728E-3</c:v>
                </c:pt>
                <c:pt idx="8">
                  <c:v>-6.1196429612149217E-3</c:v>
                </c:pt>
                <c:pt idx="9">
                  <c:v>8.1894738989696236E-3</c:v>
                </c:pt>
                <c:pt idx="10">
                  <c:v>1.8985237361970775E-2</c:v>
                </c:pt>
                <c:pt idx="11">
                  <c:v>-9.0504785343448191E-5</c:v>
                </c:pt>
                <c:pt idx="12">
                  <c:v>-9.0504785343448191E-5</c:v>
                </c:pt>
                <c:pt idx="13">
                  <c:v>-9.0504785343448191E-5</c:v>
                </c:pt>
                <c:pt idx="14">
                  <c:v>-6.8198281301043995E-3</c:v>
                </c:pt>
                <c:pt idx="15">
                  <c:v>-6.8198281301043995E-3</c:v>
                </c:pt>
                <c:pt idx="16">
                  <c:v>-6.8198281301043995E-3</c:v>
                </c:pt>
                <c:pt idx="17">
                  <c:v>5.2930723058056683E-3</c:v>
                </c:pt>
                <c:pt idx="18">
                  <c:v>-9.1475924820771937E-3</c:v>
                </c:pt>
                <c:pt idx="19">
                  <c:v>-5.0856435117962784E-2</c:v>
                </c:pt>
                <c:pt idx="20">
                  <c:v>4.7799926594389586E-3</c:v>
                </c:pt>
                <c:pt idx="21">
                  <c:v>1.5918392071572751E-2</c:v>
                </c:pt>
                <c:pt idx="22">
                  <c:v>4.0159076108240432E-2</c:v>
                </c:pt>
                <c:pt idx="23">
                  <c:v>1.4510347151286407E-3</c:v>
                </c:pt>
                <c:pt idx="24">
                  <c:v>1.9676202304814705E-3</c:v>
                </c:pt>
                <c:pt idx="25">
                  <c:v>4.5991090126080714E-3</c:v>
                </c:pt>
                <c:pt idx="26">
                  <c:v>4.5991090126080714E-3</c:v>
                </c:pt>
                <c:pt idx="27">
                  <c:v>1.9676202304814705E-3</c:v>
                </c:pt>
              </c:numCache>
            </c:numRef>
          </c:xVal>
          <c:yVal>
            <c:numRef>
              <c:f>'16.7-1,2,3'!$AM$3:$AM$30</c:f>
              <c:numCache>
                <c:formatCode>0.0</c:formatCode>
                <c:ptCount val="28"/>
                <c:pt idx="0">
                  <c:v>50.592018541653779</c:v>
                </c:pt>
                <c:pt idx="1">
                  <c:v>57.343317261303817</c:v>
                </c:pt>
                <c:pt idx="2">
                  <c:v>45.069933831448054</c:v>
                </c:pt>
                <c:pt idx="3">
                  <c:v>43.638907410958602</c:v>
                </c:pt>
                <c:pt idx="4">
                  <c:v>48.538556414516187</c:v>
                </c:pt>
                <c:pt idx="5">
                  <c:v>49.552510930344468</c:v>
                </c:pt>
                <c:pt idx="6">
                  <c:v>48.930802584681686</c:v>
                </c:pt>
                <c:pt idx="7">
                  <c:v>48.652510930344469</c:v>
                </c:pt>
                <c:pt idx="8">
                  <c:v>49.295982997400529</c:v>
                </c:pt>
                <c:pt idx="9">
                  <c:v>50.649019425668413</c:v>
                </c:pt>
                <c:pt idx="10">
                  <c:v>54.515011100251499</c:v>
                </c:pt>
                <c:pt idx="11">
                  <c:v>49.91285909236359</c:v>
                </c:pt>
                <c:pt idx="12">
                  <c:v>51.012859092363584</c:v>
                </c:pt>
                <c:pt idx="13">
                  <c:v>52.112859092363585</c:v>
                </c:pt>
                <c:pt idx="14">
                  <c:v>51.460429284430958</c:v>
                </c:pt>
                <c:pt idx="15">
                  <c:v>51.460429284430958</c:v>
                </c:pt>
                <c:pt idx="16">
                  <c:v>52.460429284430958</c:v>
                </c:pt>
                <c:pt idx="17">
                  <c:v>50.624701292994502</c:v>
                </c:pt>
                <c:pt idx="18">
                  <c:v>40.094631524531394</c:v>
                </c:pt>
                <c:pt idx="19">
                  <c:v>62.013356614441214</c:v>
                </c:pt>
                <c:pt idx="20">
                  <c:v>42.01829806421987</c:v>
                </c:pt>
                <c:pt idx="21">
                  <c:v>47.539672594631881</c:v>
                </c:pt>
                <c:pt idx="22">
                  <c:v>59.702945816385601</c:v>
                </c:pt>
                <c:pt idx="23">
                  <c:v>53.845701201979743</c:v>
                </c:pt>
                <c:pt idx="24">
                  <c:v>49.603663455027608</c:v>
                </c:pt>
                <c:pt idx="25">
                  <c:v>45.777464710902827</c:v>
                </c:pt>
                <c:pt idx="26">
                  <c:v>41.277464710902827</c:v>
                </c:pt>
                <c:pt idx="27">
                  <c:v>44.103663455027608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28-4A03-8917-7BAFC6F65975}"/>
            </c:ext>
          </c:extLst>
        </c:ser>
        <c:ser>
          <c:idx val="1"/>
          <c:order val="1"/>
          <c:tx>
            <c:v>Mean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'16.7-1,2,3'!$E$37:$E$38</c:f>
              <c:numCache>
                <c:formatCode>0.000</c:formatCode>
                <c:ptCount val="2"/>
                <c:pt idx="0">
                  <c:v>-5.0856435117962784E-2</c:v>
                </c:pt>
                <c:pt idx="1">
                  <c:v>4.0159076108240432E-2</c:v>
                </c:pt>
              </c:numCache>
            </c:numRef>
          </c:xVal>
          <c:yVal>
            <c:numRef>
              <c:f>('16.7-1,2,3'!$B$31,'16.7-1,2,3'!$B$31)</c:f>
              <c:numCache>
                <c:formatCode>General</c:formatCode>
                <c:ptCount val="2"/>
                <c:pt idx="0">
                  <c:v>49.707142857142863</c:v>
                </c:pt>
                <c:pt idx="1">
                  <c:v>49.707142857142863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228-4A03-8917-7BAFC6F65975}"/>
            </c:ext>
          </c:extLst>
        </c:ser>
        <c:ser>
          <c:idx val="2"/>
          <c:order val="2"/>
          <c:tx>
            <c:v>Leverage Fit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'16.7-1,2,3'!$E$37:$E$38</c:f>
              <c:numCache>
                <c:formatCode>0.000</c:formatCode>
                <c:ptCount val="2"/>
                <c:pt idx="0">
                  <c:v>-5.0856435117962784E-2</c:v>
                </c:pt>
                <c:pt idx="1">
                  <c:v>4.0159076108240432E-2</c:v>
                </c:pt>
              </c:numCache>
            </c:numRef>
          </c:xVal>
          <c:yVal>
            <c:numRef>
              <c:f>'16.7-1,2,3'!$J$37:$J$38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228-4A03-8917-7BAFC6F65975}"/>
            </c:ext>
          </c:extLst>
        </c:ser>
        <c:ser>
          <c:idx val="3"/>
          <c:order val="3"/>
          <c:tx>
            <c:v>LCL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'16.7-1,2,3'!$E$40:$E$60</c:f>
              <c:numCache>
                <c:formatCode>0.000</c:formatCode>
                <c:ptCount val="21"/>
                <c:pt idx="0">
                  <c:v>-5.0856435117962784E-2</c:v>
                </c:pt>
                <c:pt idx="1">
                  <c:v>-4.6305659556652626E-2</c:v>
                </c:pt>
                <c:pt idx="2">
                  <c:v>-4.1754883995342468E-2</c:v>
                </c:pt>
                <c:pt idx="3">
                  <c:v>-3.720410843403231E-2</c:v>
                </c:pt>
                <c:pt idx="4">
                  <c:v>-3.2653332872722152E-2</c:v>
                </c:pt>
                <c:pt idx="5">
                  <c:v>-2.810255731141199E-2</c:v>
                </c:pt>
                <c:pt idx="6">
                  <c:v>-2.3551781750101829E-2</c:v>
                </c:pt>
                <c:pt idx="7">
                  <c:v>-1.9001006188791667E-2</c:v>
                </c:pt>
                <c:pt idx="8">
                  <c:v>-1.4450230627481506E-2</c:v>
                </c:pt>
                <c:pt idx="9">
                  <c:v>-9.8994550661713442E-3</c:v>
                </c:pt>
                <c:pt idx="10">
                  <c:v>-5.3486795048611835E-3</c:v>
                </c:pt>
                <c:pt idx="11">
                  <c:v>-7.9790394355102288E-4</c:v>
                </c:pt>
                <c:pt idx="12">
                  <c:v>3.7528716177591378E-3</c:v>
                </c:pt>
                <c:pt idx="13">
                  <c:v>8.3036471790692984E-3</c:v>
                </c:pt>
                <c:pt idx="14">
                  <c:v>1.285442274037946E-2</c:v>
                </c:pt>
                <c:pt idx="15">
                  <c:v>1.7405198301689621E-2</c:v>
                </c:pt>
                <c:pt idx="16">
                  <c:v>2.1955973862999783E-2</c:v>
                </c:pt>
                <c:pt idx="17">
                  <c:v>2.6506749424309944E-2</c:v>
                </c:pt>
                <c:pt idx="18">
                  <c:v>3.1057524985620106E-2</c:v>
                </c:pt>
                <c:pt idx="19">
                  <c:v>3.5608300546930267E-2</c:v>
                </c:pt>
                <c:pt idx="20">
                  <c:v>4.0159076108240425E-2</c:v>
                </c:pt>
              </c:numCache>
            </c:numRef>
          </c:xVal>
          <c:yVal>
            <c:numRef>
              <c:f>'16.7-1,2,3'!$E$63:$E$83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228-4A03-8917-7BAFC6F65975}"/>
            </c:ext>
          </c:extLst>
        </c:ser>
        <c:ser>
          <c:idx val="4"/>
          <c:order val="4"/>
          <c:tx>
            <c:v>UCL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'16.7-1,2,3'!$E$40:$E$60</c:f>
              <c:numCache>
                <c:formatCode>0.000</c:formatCode>
                <c:ptCount val="21"/>
                <c:pt idx="0">
                  <c:v>-5.0856435117962784E-2</c:v>
                </c:pt>
                <c:pt idx="1">
                  <c:v>-4.6305659556652626E-2</c:v>
                </c:pt>
                <c:pt idx="2">
                  <c:v>-4.1754883995342468E-2</c:v>
                </c:pt>
                <c:pt idx="3">
                  <c:v>-3.720410843403231E-2</c:v>
                </c:pt>
                <c:pt idx="4">
                  <c:v>-3.2653332872722152E-2</c:v>
                </c:pt>
                <c:pt idx="5">
                  <c:v>-2.810255731141199E-2</c:v>
                </c:pt>
                <c:pt idx="6">
                  <c:v>-2.3551781750101829E-2</c:v>
                </c:pt>
                <c:pt idx="7">
                  <c:v>-1.9001006188791667E-2</c:v>
                </c:pt>
                <c:pt idx="8">
                  <c:v>-1.4450230627481506E-2</c:v>
                </c:pt>
                <c:pt idx="9">
                  <c:v>-9.8994550661713442E-3</c:v>
                </c:pt>
                <c:pt idx="10">
                  <c:v>-5.3486795048611835E-3</c:v>
                </c:pt>
                <c:pt idx="11">
                  <c:v>-7.9790394355102288E-4</c:v>
                </c:pt>
                <c:pt idx="12">
                  <c:v>3.7528716177591378E-3</c:v>
                </c:pt>
                <c:pt idx="13">
                  <c:v>8.3036471790692984E-3</c:v>
                </c:pt>
                <c:pt idx="14">
                  <c:v>1.285442274037946E-2</c:v>
                </c:pt>
                <c:pt idx="15">
                  <c:v>1.7405198301689621E-2</c:v>
                </c:pt>
                <c:pt idx="16">
                  <c:v>2.1955973862999783E-2</c:v>
                </c:pt>
                <c:pt idx="17">
                  <c:v>2.6506749424309944E-2</c:v>
                </c:pt>
                <c:pt idx="18">
                  <c:v>3.1057524985620106E-2</c:v>
                </c:pt>
                <c:pt idx="19">
                  <c:v>3.5608300546930267E-2</c:v>
                </c:pt>
                <c:pt idx="20">
                  <c:v>4.0159076108240425E-2</c:v>
                </c:pt>
              </c:numCache>
            </c:numRef>
          </c:xVal>
          <c:yVal>
            <c:numRef>
              <c:f>'16.7-1,2,3'!$J$63:$J$83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228-4A03-8917-7BAFC6F65975}"/>
            </c:ext>
          </c:extLst>
        </c:ser>
        <c:ser>
          <c:idx val="5"/>
          <c:order val="5"/>
          <c:tx>
            <c:v>LPL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'16.7-1,2,3'!$E$40:$E$60</c:f>
              <c:numCache>
                <c:formatCode>0.000</c:formatCode>
                <c:ptCount val="21"/>
                <c:pt idx="0">
                  <c:v>-5.0856435117962784E-2</c:v>
                </c:pt>
                <c:pt idx="1">
                  <c:v>-4.6305659556652626E-2</c:v>
                </c:pt>
                <c:pt idx="2">
                  <c:v>-4.1754883995342468E-2</c:v>
                </c:pt>
                <c:pt idx="3">
                  <c:v>-3.720410843403231E-2</c:v>
                </c:pt>
                <c:pt idx="4">
                  <c:v>-3.2653332872722152E-2</c:v>
                </c:pt>
                <c:pt idx="5">
                  <c:v>-2.810255731141199E-2</c:v>
                </c:pt>
                <c:pt idx="6">
                  <c:v>-2.3551781750101829E-2</c:v>
                </c:pt>
                <c:pt idx="7">
                  <c:v>-1.9001006188791667E-2</c:v>
                </c:pt>
                <c:pt idx="8">
                  <c:v>-1.4450230627481506E-2</c:v>
                </c:pt>
                <c:pt idx="9">
                  <c:v>-9.8994550661713442E-3</c:v>
                </c:pt>
                <c:pt idx="10">
                  <c:v>-5.3486795048611835E-3</c:v>
                </c:pt>
                <c:pt idx="11">
                  <c:v>-7.9790394355102288E-4</c:v>
                </c:pt>
                <c:pt idx="12">
                  <c:v>3.7528716177591378E-3</c:v>
                </c:pt>
                <c:pt idx="13">
                  <c:v>8.3036471790692984E-3</c:v>
                </c:pt>
                <c:pt idx="14">
                  <c:v>1.285442274037946E-2</c:v>
                </c:pt>
                <c:pt idx="15">
                  <c:v>1.7405198301689621E-2</c:v>
                </c:pt>
                <c:pt idx="16">
                  <c:v>2.1955973862999783E-2</c:v>
                </c:pt>
                <c:pt idx="17">
                  <c:v>2.6506749424309944E-2</c:v>
                </c:pt>
                <c:pt idx="18">
                  <c:v>3.1057524985620106E-2</c:v>
                </c:pt>
                <c:pt idx="19">
                  <c:v>3.5608300546930267E-2</c:v>
                </c:pt>
                <c:pt idx="20">
                  <c:v>4.0159076108240425E-2</c:v>
                </c:pt>
              </c:numCache>
            </c:numRef>
          </c:xVal>
          <c:yVal>
            <c:numRef>
              <c:f>'16.7-1,2,3'!$O$63:$O$83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228-4A03-8917-7BAFC6F65975}"/>
            </c:ext>
          </c:extLst>
        </c:ser>
        <c:ser>
          <c:idx val="6"/>
          <c:order val="6"/>
          <c:tx>
            <c:v>UPL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'16.7-1,2,3'!$E$40:$E$60</c:f>
              <c:numCache>
                <c:formatCode>0.000</c:formatCode>
                <c:ptCount val="21"/>
                <c:pt idx="0">
                  <c:v>-5.0856435117962784E-2</c:v>
                </c:pt>
                <c:pt idx="1">
                  <c:v>-4.6305659556652626E-2</c:v>
                </c:pt>
                <c:pt idx="2">
                  <c:v>-4.1754883995342468E-2</c:v>
                </c:pt>
                <c:pt idx="3">
                  <c:v>-3.720410843403231E-2</c:v>
                </c:pt>
                <c:pt idx="4">
                  <c:v>-3.2653332872722152E-2</c:v>
                </c:pt>
                <c:pt idx="5">
                  <c:v>-2.810255731141199E-2</c:v>
                </c:pt>
                <c:pt idx="6">
                  <c:v>-2.3551781750101829E-2</c:v>
                </c:pt>
                <c:pt idx="7">
                  <c:v>-1.9001006188791667E-2</c:v>
                </c:pt>
                <c:pt idx="8">
                  <c:v>-1.4450230627481506E-2</c:v>
                </c:pt>
                <c:pt idx="9">
                  <c:v>-9.8994550661713442E-3</c:v>
                </c:pt>
                <c:pt idx="10">
                  <c:v>-5.3486795048611835E-3</c:v>
                </c:pt>
                <c:pt idx="11">
                  <c:v>-7.9790394355102288E-4</c:v>
                </c:pt>
                <c:pt idx="12">
                  <c:v>3.7528716177591378E-3</c:v>
                </c:pt>
                <c:pt idx="13">
                  <c:v>8.3036471790692984E-3</c:v>
                </c:pt>
                <c:pt idx="14">
                  <c:v>1.285442274037946E-2</c:v>
                </c:pt>
                <c:pt idx="15">
                  <c:v>1.7405198301689621E-2</c:v>
                </c:pt>
                <c:pt idx="16">
                  <c:v>2.1955973862999783E-2</c:v>
                </c:pt>
                <c:pt idx="17">
                  <c:v>2.6506749424309944E-2</c:v>
                </c:pt>
                <c:pt idx="18">
                  <c:v>3.1057524985620106E-2</c:v>
                </c:pt>
                <c:pt idx="19">
                  <c:v>3.5608300546930267E-2</c:v>
                </c:pt>
                <c:pt idx="20">
                  <c:v>4.0159076108240425E-2</c:v>
                </c:pt>
              </c:numCache>
            </c:numRef>
          </c:xVal>
          <c:yVal>
            <c:numRef>
              <c:f>'16.7-1,2,3'!$T$63:$T$83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228-4A03-8917-7BAFC6F65975}"/>
            </c:ext>
          </c:extLst>
        </c:ser>
        <c:ser>
          <c:idx val="7"/>
          <c:order val="7"/>
          <c:tx>
            <c:v>V 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'[7]Fig 16.7-4'!$S$25:$S$26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'[7]Fig 16.7-4'!$T$25:$T$26</c:f>
              <c:numCache>
                <c:formatCode>General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228-4A03-8917-7BAFC6F659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6226911"/>
        <c:axId val="1836212991"/>
      </c:scatterChart>
      <c:valAx>
        <c:axId val="1836226911"/>
        <c:scaling>
          <c:orientation val="minMax"/>
          <c:max val="4.0000000000000008E-2"/>
          <c:min val="-5.000000000000001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12991"/>
        <c:crosses val="autoZero"/>
        <c:crossBetween val="midCat"/>
        <c:majorUnit val="2.0000000000000004E-2"/>
      </c:valAx>
      <c:valAx>
        <c:axId val="1836212991"/>
        <c:scaling>
          <c:orientation val="minMax"/>
          <c:max val="70"/>
          <c:min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26911"/>
        <c:crossesAt val="-5.000000000000001E-2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Actual Vs. </a:t>
            </a:r>
          </a:p>
          <a:p>
            <a:pPr>
              <a:defRPr/>
            </a:pPr>
            <a:r>
              <a:rPr lang="en-US" sz="1400"/>
              <a:t>Predicted NOx, </a:t>
            </a:r>
          </a:p>
          <a:p>
            <a:pPr>
              <a:defRPr/>
            </a:pPr>
            <a:r>
              <a:rPr lang="en-US" sz="1400" i="1"/>
              <a:t>R</a:t>
            </a:r>
            <a:r>
              <a:rPr lang="en-US" sz="1400" baseline="30000"/>
              <a:t>2 </a:t>
            </a:r>
            <a:r>
              <a:rPr lang="en-US" sz="1400"/>
              <a:t>= 0.9825</a:t>
            </a:r>
          </a:p>
          <a:p>
            <a:pPr>
              <a:defRPr/>
            </a:pPr>
            <a:r>
              <a:rPr lang="en-US" sz="1400" i="1"/>
              <a:t>s </a:t>
            </a:r>
            <a:r>
              <a:rPr lang="en-US" sz="1400"/>
              <a:t>= 5.546</a:t>
            </a:r>
          </a:p>
        </c:rich>
      </c:tx>
      <c:layout>
        <c:manualLayout>
          <c:xMode val="edge"/>
          <c:yMode val="edge"/>
          <c:x val="0.13588774301442405"/>
          <c:y val="5.2336237661676499E-2"/>
        </c:manualLayout>
      </c:layout>
      <c:overlay val="0"/>
      <c:spPr>
        <a:solidFill>
          <a:schemeClr val="bg1">
            <a:alpha val="9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943783189891962"/>
          <c:y val="2.5102923606212843E-2"/>
          <c:w val="0.83084123786852226"/>
          <c:h val="0.89172400639133997"/>
        </c:manualLayout>
      </c:layout>
      <c:scatterChart>
        <c:scatterStyle val="lineMarker"/>
        <c:varyColors val="0"/>
        <c:ser>
          <c:idx val="0"/>
          <c:order val="0"/>
          <c:tx>
            <c:v>Act. Vs. Pred. Data Pts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'16.7-1,2,3'!$C$3:$C$30</c:f>
              <c:numCache>
                <c:formatCode>0.0</c:formatCode>
                <c:ptCount val="28"/>
                <c:pt idx="0">
                  <c:v>85.998219980632285</c:v>
                </c:pt>
                <c:pt idx="1">
                  <c:v>82.624049012813998</c:v>
                </c:pt>
                <c:pt idx="2">
                  <c:v>57.481500850362728</c:v>
                </c:pt>
                <c:pt idx="3">
                  <c:v>47.519856613253388</c:v>
                </c:pt>
                <c:pt idx="4">
                  <c:v>40.951838915093312</c:v>
                </c:pt>
                <c:pt idx="5">
                  <c:v>33.550979908370124</c:v>
                </c:pt>
                <c:pt idx="6">
                  <c:v>35.273438861721132</c:v>
                </c:pt>
                <c:pt idx="7">
                  <c:v>33.550979908370124</c:v>
                </c:pt>
                <c:pt idx="8">
                  <c:v>32.750702871909994</c:v>
                </c:pt>
                <c:pt idx="9">
                  <c:v>29.069914928396063</c:v>
                </c:pt>
                <c:pt idx="10">
                  <c:v>20.028518149098968</c:v>
                </c:pt>
                <c:pt idx="11">
                  <c:v>28.000784265904958</c:v>
                </c:pt>
                <c:pt idx="12">
                  <c:v>28.000784265904958</c:v>
                </c:pt>
                <c:pt idx="13">
                  <c:v>28.000784265904958</c:v>
                </c:pt>
                <c:pt idx="14">
                  <c:v>28.436547345327089</c:v>
                </c:pt>
                <c:pt idx="15">
                  <c:v>28.436547345327089</c:v>
                </c:pt>
                <c:pt idx="16">
                  <c:v>28.436547345327089</c:v>
                </c:pt>
                <c:pt idx="17">
                  <c:v>27.402266942907271</c:v>
                </c:pt>
                <c:pt idx="18">
                  <c:v>46.269536649138885</c:v>
                </c:pt>
                <c:pt idx="19">
                  <c:v>72.846546840241786</c:v>
                </c:pt>
                <c:pt idx="20">
                  <c:v>55.845522088480649</c:v>
                </c:pt>
                <c:pt idx="21">
                  <c:v>51.42413264554186</c:v>
                </c:pt>
                <c:pt idx="22">
                  <c:v>76.319773653595377</c:v>
                </c:pt>
                <c:pt idx="23">
                  <c:v>78.45722116820059</c:v>
                </c:pt>
                <c:pt idx="24">
                  <c:v>78.562155189510847</c:v>
                </c:pt>
                <c:pt idx="25">
                  <c:v>78.99934739957699</c:v>
                </c:pt>
                <c:pt idx="26">
                  <c:v>78.99934739957699</c:v>
                </c:pt>
                <c:pt idx="27">
                  <c:v>78.562155189510847</c:v>
                </c:pt>
              </c:numCache>
            </c:numRef>
          </c:xVal>
          <c:yVal>
            <c:numRef>
              <c:f>'16.7-1,2,3'!$B$3:$B$30</c:f>
              <c:numCache>
                <c:formatCode>0.0</c:formatCode>
                <c:ptCount val="28"/>
                <c:pt idx="0">
                  <c:v>85.7</c:v>
                </c:pt>
                <c:pt idx="1">
                  <c:v>89.5</c:v>
                </c:pt>
                <c:pt idx="2">
                  <c:v>53.6</c:v>
                </c:pt>
                <c:pt idx="3">
                  <c:v>43</c:v>
                </c:pt>
                <c:pt idx="4">
                  <c:v>39.299999999999997</c:v>
                </c:pt>
                <c:pt idx="5">
                  <c:v>33.1</c:v>
                </c:pt>
                <c:pt idx="6">
                  <c:v>33.700000000000003</c:v>
                </c:pt>
                <c:pt idx="7">
                  <c:v>32.200000000000003</c:v>
                </c:pt>
                <c:pt idx="8">
                  <c:v>31.9</c:v>
                </c:pt>
                <c:pt idx="9">
                  <c:v>30.6</c:v>
                </c:pt>
                <c:pt idx="10">
                  <c:v>26.2</c:v>
                </c:pt>
                <c:pt idx="11">
                  <c:v>28.2</c:v>
                </c:pt>
                <c:pt idx="12">
                  <c:v>29.3</c:v>
                </c:pt>
                <c:pt idx="13">
                  <c:v>30.4</c:v>
                </c:pt>
                <c:pt idx="14">
                  <c:v>29.7</c:v>
                </c:pt>
                <c:pt idx="15">
                  <c:v>29.7</c:v>
                </c:pt>
                <c:pt idx="16">
                  <c:v>30.7</c:v>
                </c:pt>
                <c:pt idx="17">
                  <c:v>28.7</c:v>
                </c:pt>
                <c:pt idx="18">
                  <c:v>36</c:v>
                </c:pt>
                <c:pt idx="19">
                  <c:v>81.5</c:v>
                </c:pt>
                <c:pt idx="20">
                  <c:v>48.5</c:v>
                </c:pt>
                <c:pt idx="21">
                  <c:v>50.4</c:v>
                </c:pt>
                <c:pt idx="22">
                  <c:v>89.2</c:v>
                </c:pt>
                <c:pt idx="23">
                  <c:v>82.7</c:v>
                </c:pt>
                <c:pt idx="24">
                  <c:v>78.599999999999994</c:v>
                </c:pt>
                <c:pt idx="25">
                  <c:v>75.400000000000006</c:v>
                </c:pt>
                <c:pt idx="26">
                  <c:v>70.900000000000006</c:v>
                </c:pt>
                <c:pt idx="27">
                  <c:v>73.099999999999994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EC7-4DFD-9EE5-0CAD95412B15}"/>
            </c:ext>
          </c:extLst>
        </c:ser>
        <c:ser>
          <c:idx val="1"/>
          <c:order val="1"/>
          <c:tx>
            <c:v>Regress. 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100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100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1-0EC7-4DFD-9EE5-0CAD95412B15}"/>
            </c:ext>
          </c:extLst>
        </c:ser>
        <c:ser>
          <c:idx val="2"/>
          <c:order val="2"/>
          <c:tx>
            <c:v>Mean Value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100</c:v>
              </c:pt>
            </c:numLit>
          </c:xVal>
          <c:yVal>
            <c:numRef>
              <c:f>('16.7-1,2,3'!$B$31,'16.7-1,2,3'!$B$31)</c:f>
              <c:numCache>
                <c:formatCode>General</c:formatCode>
                <c:ptCount val="2"/>
                <c:pt idx="0">
                  <c:v>49.707142857142863</c:v>
                </c:pt>
                <c:pt idx="1">
                  <c:v>49.707142857142863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EC7-4DFD-9EE5-0CAD95412B15}"/>
            </c:ext>
          </c:extLst>
        </c:ser>
        <c:ser>
          <c:idx val="3"/>
          <c:order val="3"/>
          <c:tx>
            <c:v>LCL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'[7]Fig 16.7-4'!$T$3:$T$23</c:f>
              <c:numCache>
                <c:formatCode>General</c:formatCode>
                <c:ptCount val="2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</c:numCache>
            </c:numRef>
          </c:xVal>
          <c:yVal>
            <c:numRef>
              <c:f>'[7]Fig 16.7-4'!$Y$3:$Y$23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C7-4DFD-9EE5-0CAD95412B15}"/>
            </c:ext>
          </c:extLst>
        </c:ser>
        <c:ser>
          <c:idx val="4"/>
          <c:order val="4"/>
          <c:tx>
            <c:v>UCL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'[7]Fig 16.7-4'!$T$3:$T$23</c:f>
              <c:numCache>
                <c:formatCode>General</c:formatCode>
                <c:ptCount val="2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</c:numCache>
            </c:numRef>
          </c:xVal>
          <c:yVal>
            <c:numRef>
              <c:f>'[7]Fig 16.7-4'!$Z$3:$Z$23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EC7-4DFD-9EE5-0CAD95412B15}"/>
            </c:ext>
          </c:extLst>
        </c:ser>
        <c:ser>
          <c:idx val="5"/>
          <c:order val="5"/>
          <c:tx>
            <c:v>UPL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'[7]Fig 16.7-4'!$T$3:$T$23</c:f>
              <c:numCache>
                <c:formatCode>General</c:formatCode>
                <c:ptCount val="2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</c:numCache>
            </c:numRef>
          </c:xVal>
          <c:yVal>
            <c:numRef>
              <c:f>'[7]Fig 16.7-4'!$AA$3:$AA$23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C7-4DFD-9EE5-0CAD95412B15}"/>
            </c:ext>
          </c:extLst>
        </c:ser>
        <c:ser>
          <c:idx val="6"/>
          <c:order val="6"/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'[7]Fig 16.7-4'!$T$3:$T$23</c:f>
              <c:numCache>
                <c:formatCode>General</c:formatCode>
                <c:ptCount val="2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</c:numCache>
            </c:numRef>
          </c:xVal>
          <c:yVal>
            <c:numRef>
              <c:f>'[7]Fig 16.7-4'!$AB$3:$AB$23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EC7-4DFD-9EE5-0CAD95412B15}"/>
            </c:ext>
          </c:extLst>
        </c:ser>
        <c:ser>
          <c:idx val="7"/>
          <c:order val="7"/>
          <c:tx>
            <c:v>V 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'[7]Fig 16.7-4'!$S$27:$S$28</c:f>
              <c:numCache>
                <c:formatCode>General</c:formatCode>
                <c:ptCount val="2"/>
                <c:pt idx="0">
                  <c:v>49.707142857142863</c:v>
                </c:pt>
                <c:pt idx="1">
                  <c:v>49.707142857142863</c:v>
                </c:pt>
              </c:numCache>
            </c:numRef>
          </c:xVal>
          <c:yVal>
            <c:numRef>
              <c:f>'[7]Fig 16.7-4'!$T$25:$T$26</c:f>
              <c:numCache>
                <c:formatCode>General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EC7-4DFD-9EE5-0CAD95412B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8857296"/>
        <c:axId val="1008859008"/>
      </c:scatterChart>
      <c:valAx>
        <c:axId val="1008857296"/>
        <c:scaling>
          <c:orientation val="minMax"/>
          <c:max val="1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8859008"/>
        <c:crosses val="autoZero"/>
        <c:crossBetween val="midCat"/>
      </c:valAx>
      <c:valAx>
        <c:axId val="100885900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88572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'16.8-1'!$M$54</c:f>
          <c:strCache>
            <c:ptCount val="1"/>
            <c:pt idx="0">
              <c:v>#NAME?</c:v>
            </c:pt>
          </c:strCache>
        </c:strRef>
      </c:tx>
      <c:layout>
        <c:manualLayout>
          <c:xMode val="edge"/>
          <c:yMode val="edge"/>
          <c:x val="0.24141666666666667"/>
          <c:y val="2.6868328958880139E-2"/>
        </c:manualLayout>
      </c:layout>
      <c:overlay val="0"/>
      <c:spPr>
        <a:solidFill>
          <a:schemeClr val="bg1">
            <a:alpha val="9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6826334208223973E-2"/>
          <c:y val="1.5256999125109361E-2"/>
          <c:w val="0.94068766404199478"/>
          <c:h val="0.93419225721784782"/>
        </c:manualLayout>
      </c:layout>
      <c:scatterChart>
        <c:scatterStyle val="lineMarker"/>
        <c:varyColors val="0"/>
        <c:ser>
          <c:idx val="0"/>
          <c:order val="0"/>
          <c:tx>
            <c:v>Leverage Points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'16.8-1'!$E$3:$E$30</c:f>
              <c:numCache>
                <c:formatCode>0.000</c:formatCode>
                <c:ptCount val="28"/>
                <c:pt idx="0">
                  <c:v>-0.54401329185791569</c:v>
                </c:pt>
                <c:pt idx="1">
                  <c:v>-0.4964809446072791</c:v>
                </c:pt>
                <c:pt idx="2">
                  <c:v>-0.97982023212496827</c:v>
                </c:pt>
                <c:pt idx="3">
                  <c:v>-0.74937818187663252</c:v>
                </c:pt>
                <c:pt idx="4">
                  <c:v>-0.18879041218238324</c:v>
                </c:pt>
                <c:pt idx="5">
                  <c:v>0.35873576895677362</c:v>
                </c:pt>
                <c:pt idx="6">
                  <c:v>0.39505317533733852</c:v>
                </c:pt>
                <c:pt idx="7">
                  <c:v>0.35873576895677362</c:v>
                </c:pt>
                <c:pt idx="8">
                  <c:v>0.48423181546884941</c:v>
                </c:pt>
                <c:pt idx="9">
                  <c:v>0.42776587736766231</c:v>
                </c:pt>
                <c:pt idx="10">
                  <c:v>0.93396065656216742</c:v>
                </c:pt>
                <c:pt idx="11">
                  <c:v>-0.18546216798164039</c:v>
                </c:pt>
                <c:pt idx="12">
                  <c:v>-0.18546216798164039</c:v>
                </c:pt>
                <c:pt idx="13">
                  <c:v>-0.18546216798164039</c:v>
                </c:pt>
                <c:pt idx="14">
                  <c:v>-0.16033742808314755</c:v>
                </c:pt>
                <c:pt idx="15">
                  <c:v>-0.16033742808314755</c:v>
                </c:pt>
                <c:pt idx="16">
                  <c:v>-0.16033742808314755</c:v>
                </c:pt>
                <c:pt idx="17">
                  <c:v>-0.17697468438429764</c:v>
                </c:pt>
                <c:pt idx="18">
                  <c:v>-0.60649833641992723</c:v>
                </c:pt>
                <c:pt idx="19">
                  <c:v>-1.1810091163615053</c:v>
                </c:pt>
                <c:pt idx="20">
                  <c:v>1.2368349060862087</c:v>
                </c:pt>
                <c:pt idx="21">
                  <c:v>1.765046019267682</c:v>
                </c:pt>
                <c:pt idx="22">
                  <c:v>0.48013519870603455</c:v>
                </c:pt>
                <c:pt idx="23">
                  <c:v>-8.1637697724690983E-2</c:v>
                </c:pt>
                <c:pt idx="24">
                  <c:v>-8.8148941678667714E-2</c:v>
                </c:pt>
                <c:pt idx="25">
                  <c:v>-0.11109980880909875</c:v>
                </c:pt>
                <c:pt idx="26">
                  <c:v>-0.11109980880909875</c:v>
                </c:pt>
                <c:pt idx="27">
                  <c:v>-8.8148941678667714E-2</c:v>
                </c:pt>
              </c:numCache>
            </c:numRef>
          </c:xVal>
          <c:yVal>
            <c:numRef>
              <c:f>'16.8-1'!$F$3:$F$30</c:f>
              <c:numCache>
                <c:formatCode>0.0</c:formatCode>
                <c:ptCount val="28"/>
                <c:pt idx="0">
                  <c:v>54.086108565115403</c:v>
                </c:pt>
                <c:pt idx="1">
                  <c:v>60.851617432882371</c:v>
                </c:pt>
                <c:pt idx="2">
                  <c:v>54.249703028247396</c:v>
                </c:pt>
                <c:pt idx="3">
                  <c:v>51.630108432398636</c:v>
                </c:pt>
                <c:pt idx="4">
                  <c:v>49.678440411729518</c:v>
                </c:pt>
                <c:pt idx="5">
                  <c:v>46.171911461414751</c:v>
                </c:pt>
                <c:pt idx="6">
                  <c:v>44.737211509704473</c:v>
                </c:pt>
                <c:pt idx="7">
                  <c:v>45.271911461414753</c:v>
                </c:pt>
                <c:pt idx="8">
                  <c:v>44.693228991723572</c:v>
                </c:pt>
                <c:pt idx="9">
                  <c:v>47.559486098460624</c:v>
                </c:pt>
                <c:pt idx="10">
                  <c:v>47.848844035454206</c:v>
                </c:pt>
                <c:pt idx="11">
                  <c:v>51.500880289225989</c:v>
                </c:pt>
                <c:pt idx="12">
                  <c:v>52.600880289225998</c:v>
                </c:pt>
                <c:pt idx="13">
                  <c:v>53.700880289225992</c:v>
                </c:pt>
                <c:pt idx="14">
                  <c:v>52.349105807799631</c:v>
                </c:pt>
                <c:pt idx="15">
                  <c:v>52.349105807799631</c:v>
                </c:pt>
                <c:pt idx="16">
                  <c:v>53.349105807799631</c:v>
                </c:pt>
                <c:pt idx="17">
                  <c:v>52.526425981919942</c:v>
                </c:pt>
                <c:pt idx="18">
                  <c:v>44.652010675177962</c:v>
                </c:pt>
                <c:pt idx="19">
                  <c:v>68.51439008743381</c:v>
                </c:pt>
                <c:pt idx="20">
                  <c:v>31.727861247535976</c:v>
                </c:pt>
                <c:pt idx="21">
                  <c:v>33.507925145473735</c:v>
                </c:pt>
                <c:pt idx="22">
                  <c:v>58.459379109199126</c:v>
                </c:pt>
                <c:pt idx="23">
                  <c:v>54.65180650897036</c:v>
                </c:pt>
                <c:pt idx="24">
                  <c:v>50.502853283519975</c:v>
                </c:pt>
                <c:pt idx="25">
                  <c:v>47.06298247881309</c:v>
                </c:pt>
                <c:pt idx="26">
                  <c:v>42.56298247881309</c:v>
                </c:pt>
                <c:pt idx="27">
                  <c:v>45.002853283519975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118-4937-B476-3CECFF63B46E}"/>
            </c:ext>
          </c:extLst>
        </c:ser>
        <c:ser>
          <c:idx val="1"/>
          <c:order val="1"/>
          <c:tx>
            <c:v>Line of Fit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'16.8-1'!$C$35:$C$55</c:f>
              <c:numCache>
                <c:formatCode>0.00</c:formatCode>
                <c:ptCount val="21"/>
                <c:pt idx="0">
                  <c:v>-1.1810091163615053</c:v>
                </c:pt>
                <c:pt idx="1">
                  <c:v>-1.033706359580046</c:v>
                </c:pt>
                <c:pt idx="2">
                  <c:v>-0.88640360279858665</c:v>
                </c:pt>
                <c:pt idx="3">
                  <c:v>-0.73910084601712733</c:v>
                </c:pt>
                <c:pt idx="4">
                  <c:v>-0.59179808923566801</c:v>
                </c:pt>
                <c:pt idx="5">
                  <c:v>-0.44449533245420864</c:v>
                </c:pt>
                <c:pt idx="6">
                  <c:v>-0.29719257567274926</c:v>
                </c:pt>
                <c:pt idx="7">
                  <c:v>-0.14988981889128988</c:v>
                </c:pt>
                <c:pt idx="8">
                  <c:v>-2.5870621098305069E-3</c:v>
                </c:pt>
                <c:pt idx="9">
                  <c:v>0.14471569467162887</c:v>
                </c:pt>
                <c:pt idx="10">
                  <c:v>0.29201845145308825</c:v>
                </c:pt>
                <c:pt idx="11">
                  <c:v>0.43932120823454762</c:v>
                </c:pt>
                <c:pt idx="12">
                  <c:v>0.586623965016007</c:v>
                </c:pt>
                <c:pt idx="13">
                  <c:v>0.73392672179746632</c:v>
                </c:pt>
                <c:pt idx="14">
                  <c:v>0.88122947857892564</c:v>
                </c:pt>
                <c:pt idx="15">
                  <c:v>1.028532235360385</c:v>
                </c:pt>
                <c:pt idx="16">
                  <c:v>1.1758349921418443</c:v>
                </c:pt>
                <c:pt idx="17">
                  <c:v>1.3231377489233036</c:v>
                </c:pt>
                <c:pt idx="18">
                  <c:v>1.4704405057047629</c:v>
                </c:pt>
                <c:pt idx="19">
                  <c:v>1.6177432624862222</c:v>
                </c:pt>
                <c:pt idx="20">
                  <c:v>1.765046019267682</c:v>
                </c:pt>
              </c:numCache>
            </c:numRef>
          </c:xVal>
          <c:yVal>
            <c:numRef>
              <c:f>'16.8-1'!$D$35:$D$55</c:f>
              <c:numCache>
                <c:formatCode>0.0</c:formatCode>
                <c:ptCount val="21"/>
                <c:pt idx="0">
                  <c:v>59.860936927671332</c:v>
                </c:pt>
                <c:pt idx="1">
                  <c:v>58.594492970838857</c:v>
                </c:pt>
                <c:pt idx="2">
                  <c:v>57.328049014006389</c:v>
                </c:pt>
                <c:pt idx="3">
                  <c:v>56.061605057173921</c:v>
                </c:pt>
                <c:pt idx="4">
                  <c:v>54.795161100341453</c:v>
                </c:pt>
                <c:pt idx="5">
                  <c:v>53.528717143508985</c:v>
                </c:pt>
                <c:pt idx="6">
                  <c:v>52.262273186676516</c:v>
                </c:pt>
                <c:pt idx="7">
                  <c:v>50.995829229844041</c:v>
                </c:pt>
                <c:pt idx="8">
                  <c:v>49.729385273011573</c:v>
                </c:pt>
                <c:pt idx="9">
                  <c:v>48.462941316179105</c:v>
                </c:pt>
                <c:pt idx="10">
                  <c:v>47.196497359346637</c:v>
                </c:pt>
                <c:pt idx="11">
                  <c:v>45.930053402514169</c:v>
                </c:pt>
                <c:pt idx="12">
                  <c:v>44.663609445681693</c:v>
                </c:pt>
                <c:pt idx="13">
                  <c:v>43.397165488849225</c:v>
                </c:pt>
                <c:pt idx="14">
                  <c:v>42.130721532016757</c:v>
                </c:pt>
                <c:pt idx="15">
                  <c:v>40.864277575184289</c:v>
                </c:pt>
                <c:pt idx="16">
                  <c:v>39.597833618351821</c:v>
                </c:pt>
                <c:pt idx="17">
                  <c:v>38.331389661519353</c:v>
                </c:pt>
                <c:pt idx="18">
                  <c:v>37.064945704686878</c:v>
                </c:pt>
                <c:pt idx="19">
                  <c:v>35.798501747854409</c:v>
                </c:pt>
                <c:pt idx="20">
                  <c:v>34.532057791021941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118-4937-B476-3CECFF63B46E}"/>
            </c:ext>
          </c:extLst>
        </c:ser>
        <c:ser>
          <c:idx val="2"/>
          <c:order val="2"/>
          <c:tx>
            <c:v>LCL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'16.8-1'!$C$35:$C$55</c:f>
              <c:numCache>
                <c:formatCode>0.00</c:formatCode>
                <c:ptCount val="21"/>
                <c:pt idx="0">
                  <c:v>-1.1810091163615053</c:v>
                </c:pt>
                <c:pt idx="1">
                  <c:v>-1.033706359580046</c:v>
                </c:pt>
                <c:pt idx="2">
                  <c:v>-0.88640360279858665</c:v>
                </c:pt>
                <c:pt idx="3">
                  <c:v>-0.73910084601712733</c:v>
                </c:pt>
                <c:pt idx="4">
                  <c:v>-0.59179808923566801</c:v>
                </c:pt>
                <c:pt idx="5">
                  <c:v>-0.44449533245420864</c:v>
                </c:pt>
                <c:pt idx="6">
                  <c:v>-0.29719257567274926</c:v>
                </c:pt>
                <c:pt idx="7">
                  <c:v>-0.14988981889128988</c:v>
                </c:pt>
                <c:pt idx="8">
                  <c:v>-2.5870621098305069E-3</c:v>
                </c:pt>
                <c:pt idx="9">
                  <c:v>0.14471569467162887</c:v>
                </c:pt>
                <c:pt idx="10">
                  <c:v>0.29201845145308825</c:v>
                </c:pt>
                <c:pt idx="11">
                  <c:v>0.43932120823454762</c:v>
                </c:pt>
                <c:pt idx="12">
                  <c:v>0.586623965016007</c:v>
                </c:pt>
                <c:pt idx="13">
                  <c:v>0.73392672179746632</c:v>
                </c:pt>
                <c:pt idx="14">
                  <c:v>0.88122947857892564</c:v>
                </c:pt>
                <c:pt idx="15">
                  <c:v>1.028532235360385</c:v>
                </c:pt>
                <c:pt idx="16">
                  <c:v>1.1758349921418443</c:v>
                </c:pt>
                <c:pt idx="17">
                  <c:v>1.3231377489233036</c:v>
                </c:pt>
                <c:pt idx="18">
                  <c:v>1.4704405057047629</c:v>
                </c:pt>
                <c:pt idx="19">
                  <c:v>1.6177432624862222</c:v>
                </c:pt>
                <c:pt idx="20">
                  <c:v>1.765046019267682</c:v>
                </c:pt>
              </c:numCache>
            </c:numRef>
          </c:xVal>
          <c:yVal>
            <c:numRef>
              <c:f>'16.8-1'!$G$35:$G$55</c:f>
              <c:numCache>
                <c:formatCode>0.0</c:formatCode>
                <c:ptCount val="21"/>
                <c:pt idx="0">
                  <c:v>54.425554306818292</c:v>
                </c:pt>
                <c:pt idx="1">
                  <c:v>53.68334731355764</c:v>
                </c:pt>
                <c:pt idx="2">
                  <c:v>52.921595354108867</c:v>
                </c:pt>
                <c:pt idx="3">
                  <c:v>52.132759068280016</c:v>
                </c:pt>
                <c:pt idx="4">
                  <c:v>51.305699464228738</c:v>
                </c:pt>
                <c:pt idx="5">
                  <c:v>50.424144874550116</c:v>
                </c:pt>
                <c:pt idx="6">
                  <c:v>49.465505374664637</c:v>
                </c:pt>
                <c:pt idx="7">
                  <c:v>48.402189668676321</c:v>
                </c:pt>
                <c:pt idx="8">
                  <c:v>47.208762947070191</c:v>
                </c:pt>
                <c:pt idx="9">
                  <c:v>45.874192119241464</c:v>
                </c:pt>
                <c:pt idx="10">
                  <c:v>44.408806082126773</c:v>
                </c:pt>
                <c:pt idx="11">
                  <c:v>42.837750431044292</c:v>
                </c:pt>
                <c:pt idx="12">
                  <c:v>41.188704060571702</c:v>
                </c:pt>
                <c:pt idx="13">
                  <c:v>39.484479459865717</c:v>
                </c:pt>
                <c:pt idx="14">
                  <c:v>37.741556321504596</c:v>
                </c:pt>
                <c:pt idx="15">
                  <c:v>35.971226861491537</c:v>
                </c:pt>
                <c:pt idx="16">
                  <c:v>34.181134061776866</c:v>
                </c:pt>
                <c:pt idx="17">
                  <c:v>32.376489356437773</c:v>
                </c:pt>
                <c:pt idx="18">
                  <c:v>30.560904195090444</c:v>
                </c:pt>
                <c:pt idx="19">
                  <c:v>28.736930461555769</c:v>
                </c:pt>
                <c:pt idx="20">
                  <c:v>26.906407860541737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118-4937-B476-3CECFF63B46E}"/>
            </c:ext>
          </c:extLst>
        </c:ser>
        <c:ser>
          <c:idx val="3"/>
          <c:order val="3"/>
          <c:tx>
            <c:v>UCL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'16.8-1'!$C$35:$C$55</c:f>
              <c:numCache>
                <c:formatCode>0.00</c:formatCode>
                <c:ptCount val="21"/>
                <c:pt idx="0">
                  <c:v>-1.1810091163615053</c:v>
                </c:pt>
                <c:pt idx="1">
                  <c:v>-1.033706359580046</c:v>
                </c:pt>
                <c:pt idx="2">
                  <c:v>-0.88640360279858665</c:v>
                </c:pt>
                <c:pt idx="3">
                  <c:v>-0.73910084601712733</c:v>
                </c:pt>
                <c:pt idx="4">
                  <c:v>-0.59179808923566801</c:v>
                </c:pt>
                <c:pt idx="5">
                  <c:v>-0.44449533245420864</c:v>
                </c:pt>
                <c:pt idx="6">
                  <c:v>-0.29719257567274926</c:v>
                </c:pt>
                <c:pt idx="7">
                  <c:v>-0.14988981889128988</c:v>
                </c:pt>
                <c:pt idx="8">
                  <c:v>-2.5870621098305069E-3</c:v>
                </c:pt>
                <c:pt idx="9">
                  <c:v>0.14471569467162887</c:v>
                </c:pt>
                <c:pt idx="10">
                  <c:v>0.29201845145308825</c:v>
                </c:pt>
                <c:pt idx="11">
                  <c:v>0.43932120823454762</c:v>
                </c:pt>
                <c:pt idx="12">
                  <c:v>0.586623965016007</c:v>
                </c:pt>
                <c:pt idx="13">
                  <c:v>0.73392672179746632</c:v>
                </c:pt>
                <c:pt idx="14">
                  <c:v>0.88122947857892564</c:v>
                </c:pt>
                <c:pt idx="15">
                  <c:v>1.028532235360385</c:v>
                </c:pt>
                <c:pt idx="16">
                  <c:v>1.1758349921418443</c:v>
                </c:pt>
                <c:pt idx="17">
                  <c:v>1.3231377489233036</c:v>
                </c:pt>
                <c:pt idx="18">
                  <c:v>1.4704405057047629</c:v>
                </c:pt>
                <c:pt idx="19">
                  <c:v>1.6177432624862222</c:v>
                </c:pt>
                <c:pt idx="20">
                  <c:v>1.765046019267682</c:v>
                </c:pt>
              </c:numCache>
            </c:numRef>
          </c:xVal>
          <c:yVal>
            <c:numRef>
              <c:f>'16.8-1'!$H$35:$H$55</c:f>
              <c:numCache>
                <c:formatCode>0.0</c:formatCode>
                <c:ptCount val="21"/>
                <c:pt idx="0">
                  <c:v>65.29631954852438</c:v>
                </c:pt>
                <c:pt idx="1">
                  <c:v>63.505638628120074</c:v>
                </c:pt>
                <c:pt idx="2">
                  <c:v>61.734502673903911</c:v>
                </c:pt>
                <c:pt idx="3">
                  <c:v>59.990451046067825</c:v>
                </c:pt>
                <c:pt idx="4">
                  <c:v>58.284622736454168</c:v>
                </c:pt>
                <c:pt idx="5">
                  <c:v>56.633289412467853</c:v>
                </c:pt>
                <c:pt idx="6">
                  <c:v>55.059040998688396</c:v>
                </c:pt>
                <c:pt idx="7">
                  <c:v>53.589468791011761</c:v>
                </c:pt>
                <c:pt idx="8">
                  <c:v>52.250007598952955</c:v>
                </c:pt>
                <c:pt idx="9">
                  <c:v>51.051690513116746</c:v>
                </c:pt>
                <c:pt idx="10">
                  <c:v>49.9841886365665</c:v>
                </c:pt>
                <c:pt idx="11">
                  <c:v>49.022356373984046</c:v>
                </c:pt>
                <c:pt idx="12">
                  <c:v>48.138514830791685</c:v>
                </c:pt>
                <c:pt idx="13">
                  <c:v>47.309851517832733</c:v>
                </c:pt>
                <c:pt idx="14">
                  <c:v>46.519886742528918</c:v>
                </c:pt>
                <c:pt idx="15">
                  <c:v>45.757328288877041</c:v>
                </c:pt>
                <c:pt idx="16">
                  <c:v>45.014533174926775</c:v>
                </c:pt>
                <c:pt idx="17">
                  <c:v>44.286289966600933</c:v>
                </c:pt>
                <c:pt idx="18">
                  <c:v>43.568987214283311</c:v>
                </c:pt>
                <c:pt idx="19">
                  <c:v>42.860073034153046</c:v>
                </c:pt>
                <c:pt idx="20">
                  <c:v>42.157707721502142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118-4937-B476-3CECFF63B46E}"/>
            </c:ext>
          </c:extLst>
        </c:ser>
        <c:ser>
          <c:idx val="4"/>
          <c:order val="4"/>
          <c:tx>
            <c:v>LPL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'16.8-1'!$C$35:$C$55</c:f>
              <c:numCache>
                <c:formatCode>0.00</c:formatCode>
                <c:ptCount val="21"/>
                <c:pt idx="0">
                  <c:v>-1.1810091163615053</c:v>
                </c:pt>
                <c:pt idx="1">
                  <c:v>-1.033706359580046</c:v>
                </c:pt>
                <c:pt idx="2">
                  <c:v>-0.88640360279858665</c:v>
                </c:pt>
                <c:pt idx="3">
                  <c:v>-0.73910084601712733</c:v>
                </c:pt>
                <c:pt idx="4">
                  <c:v>-0.59179808923566801</c:v>
                </c:pt>
                <c:pt idx="5">
                  <c:v>-0.44449533245420864</c:v>
                </c:pt>
                <c:pt idx="6">
                  <c:v>-0.29719257567274926</c:v>
                </c:pt>
                <c:pt idx="7">
                  <c:v>-0.14988981889128988</c:v>
                </c:pt>
                <c:pt idx="8">
                  <c:v>-2.5870621098305069E-3</c:v>
                </c:pt>
                <c:pt idx="9">
                  <c:v>0.14471569467162887</c:v>
                </c:pt>
                <c:pt idx="10">
                  <c:v>0.29201845145308825</c:v>
                </c:pt>
                <c:pt idx="11">
                  <c:v>0.43932120823454762</c:v>
                </c:pt>
                <c:pt idx="12">
                  <c:v>0.586623965016007</c:v>
                </c:pt>
                <c:pt idx="13">
                  <c:v>0.73392672179746632</c:v>
                </c:pt>
                <c:pt idx="14">
                  <c:v>0.88122947857892564</c:v>
                </c:pt>
                <c:pt idx="15">
                  <c:v>1.028532235360385</c:v>
                </c:pt>
                <c:pt idx="16">
                  <c:v>1.1758349921418443</c:v>
                </c:pt>
                <c:pt idx="17">
                  <c:v>1.3231377489233036</c:v>
                </c:pt>
                <c:pt idx="18">
                  <c:v>1.4704405057047629</c:v>
                </c:pt>
                <c:pt idx="19">
                  <c:v>1.6177432624862222</c:v>
                </c:pt>
                <c:pt idx="20">
                  <c:v>1.765046019267682</c:v>
                </c:pt>
              </c:numCache>
            </c:numRef>
          </c:xVal>
          <c:yVal>
            <c:numRef>
              <c:f>'16.8-1'!$I$35:$I$55</c:f>
              <c:numCache>
                <c:formatCode>0.0</c:formatCode>
                <c:ptCount val="21"/>
                <c:pt idx="0">
                  <c:v>45.45818365104779</c:v>
                </c:pt>
                <c:pt idx="1">
                  <c:v>44.381285402550439</c:v>
                </c:pt>
                <c:pt idx="2">
                  <c:v>43.281243271452553</c:v>
                </c:pt>
                <c:pt idx="3">
                  <c:v>42.157226303821915</c:v>
                </c:pt>
                <c:pt idx="4">
                  <c:v>41.00849144367232</c:v>
                </c:pt>
                <c:pt idx="5">
                  <c:v>39.834401290374615</c:v>
                </c:pt>
                <c:pt idx="6">
                  <c:v>38.634440346986828</c:v>
                </c:pt>
                <c:pt idx="7">
                  <c:v>37.408228857244275</c:v>
                </c:pt>
                <c:pt idx="8">
                  <c:v>36.155533401775713</c:v>
                </c:pt>
                <c:pt idx="9">
                  <c:v>34.876273582077992</c:v>
                </c:pt>
                <c:pt idx="10">
                  <c:v>33.570524353013965</c:v>
                </c:pt>
                <c:pt idx="11">
                  <c:v>32.238513847753339</c:v>
                </c:pt>
                <c:pt idx="12">
                  <c:v>30.880616840746967</c:v>
                </c:pt>
                <c:pt idx="13">
                  <c:v>29.497344278717719</c:v>
                </c:pt>
                <c:pt idx="14">
                  <c:v>28.089329544133602</c:v>
                </c:pt>
                <c:pt idx="15">
                  <c:v>26.657312276465909</c:v>
                </c:pt>
                <c:pt idx="16">
                  <c:v>25.202120652388025</c:v>
                </c:pt>
                <c:pt idx="17">
                  <c:v>23.724653018597373</c:v>
                </c:pt>
                <c:pt idx="18">
                  <c:v>22.22585969271254</c:v>
                </c:pt>
                <c:pt idx="19">
                  <c:v>20.706725618329546</c:v>
                </c:pt>
                <c:pt idx="20">
                  <c:v>19.168254402067376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118-4937-B476-3CECFF63B46E}"/>
            </c:ext>
          </c:extLst>
        </c:ser>
        <c:ser>
          <c:idx val="5"/>
          <c:order val="5"/>
          <c:tx>
            <c:v>UPL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'16.8-1'!$C$35:$C$55</c:f>
              <c:numCache>
                <c:formatCode>0.00</c:formatCode>
                <c:ptCount val="21"/>
                <c:pt idx="0">
                  <c:v>-1.1810091163615053</c:v>
                </c:pt>
                <c:pt idx="1">
                  <c:v>-1.033706359580046</c:v>
                </c:pt>
                <c:pt idx="2">
                  <c:v>-0.88640360279858665</c:v>
                </c:pt>
                <c:pt idx="3">
                  <c:v>-0.73910084601712733</c:v>
                </c:pt>
                <c:pt idx="4">
                  <c:v>-0.59179808923566801</c:v>
                </c:pt>
                <c:pt idx="5">
                  <c:v>-0.44449533245420864</c:v>
                </c:pt>
                <c:pt idx="6">
                  <c:v>-0.29719257567274926</c:v>
                </c:pt>
                <c:pt idx="7">
                  <c:v>-0.14988981889128988</c:v>
                </c:pt>
                <c:pt idx="8">
                  <c:v>-2.5870621098305069E-3</c:v>
                </c:pt>
                <c:pt idx="9">
                  <c:v>0.14471569467162887</c:v>
                </c:pt>
                <c:pt idx="10">
                  <c:v>0.29201845145308825</c:v>
                </c:pt>
                <c:pt idx="11">
                  <c:v>0.43932120823454762</c:v>
                </c:pt>
                <c:pt idx="12">
                  <c:v>0.586623965016007</c:v>
                </c:pt>
                <c:pt idx="13">
                  <c:v>0.73392672179746632</c:v>
                </c:pt>
                <c:pt idx="14">
                  <c:v>0.88122947857892564</c:v>
                </c:pt>
                <c:pt idx="15">
                  <c:v>1.028532235360385</c:v>
                </c:pt>
                <c:pt idx="16">
                  <c:v>1.1758349921418443</c:v>
                </c:pt>
                <c:pt idx="17">
                  <c:v>1.3231377489233036</c:v>
                </c:pt>
                <c:pt idx="18">
                  <c:v>1.4704405057047629</c:v>
                </c:pt>
                <c:pt idx="19">
                  <c:v>1.6177432624862222</c:v>
                </c:pt>
                <c:pt idx="20">
                  <c:v>1.765046019267682</c:v>
                </c:pt>
              </c:numCache>
            </c:numRef>
          </c:xVal>
          <c:yVal>
            <c:numRef>
              <c:f>'16.8-1'!$J$35:$J$55</c:f>
              <c:numCache>
                <c:formatCode>0.0</c:formatCode>
                <c:ptCount val="21"/>
                <c:pt idx="0">
                  <c:v>74.263690204294875</c:v>
                </c:pt>
                <c:pt idx="1">
                  <c:v>72.807700539127268</c:v>
                </c:pt>
                <c:pt idx="2">
                  <c:v>71.374854756560225</c:v>
                </c:pt>
                <c:pt idx="3">
                  <c:v>69.965983810525927</c:v>
                </c:pt>
                <c:pt idx="4">
                  <c:v>68.581830757010593</c:v>
                </c:pt>
                <c:pt idx="5">
                  <c:v>67.223032996643354</c:v>
                </c:pt>
                <c:pt idx="6">
                  <c:v>65.890106026366198</c:v>
                </c:pt>
                <c:pt idx="7">
                  <c:v>64.5834296024438</c:v>
                </c:pt>
                <c:pt idx="8">
                  <c:v>63.303237144247433</c:v>
                </c:pt>
                <c:pt idx="9">
                  <c:v>62.049609050280218</c:v>
                </c:pt>
                <c:pt idx="10">
                  <c:v>60.822470365679308</c:v>
                </c:pt>
                <c:pt idx="11">
                  <c:v>59.621592957274999</c:v>
                </c:pt>
                <c:pt idx="12">
                  <c:v>58.44660205061642</c:v>
                </c:pt>
                <c:pt idx="13">
                  <c:v>57.296986698980731</c:v>
                </c:pt>
                <c:pt idx="14">
                  <c:v>56.172113519899909</c:v>
                </c:pt>
                <c:pt idx="15">
                  <c:v>55.071242873902669</c:v>
                </c:pt>
                <c:pt idx="16">
                  <c:v>53.993546584315617</c:v>
                </c:pt>
                <c:pt idx="17">
                  <c:v>52.938126304441333</c:v>
                </c:pt>
                <c:pt idx="18">
                  <c:v>51.904031716661216</c:v>
                </c:pt>
                <c:pt idx="19">
                  <c:v>50.890277877379276</c:v>
                </c:pt>
                <c:pt idx="20">
                  <c:v>49.895861179976507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118-4937-B476-3CECFF63B46E}"/>
            </c:ext>
          </c:extLst>
        </c:ser>
        <c:ser>
          <c:idx val="6"/>
          <c:order val="6"/>
          <c:tx>
            <c:v>Mean y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('16.8-1'!$C$35,'16.8-1'!$C$55)</c:f>
              <c:numCache>
                <c:formatCode>0.00</c:formatCode>
                <c:ptCount val="2"/>
                <c:pt idx="0">
                  <c:v>-1.1810091163615053</c:v>
                </c:pt>
                <c:pt idx="1">
                  <c:v>1.765046019267682</c:v>
                </c:pt>
              </c:numCache>
            </c:numRef>
          </c:xVal>
          <c:yVal>
            <c:numRef>
              <c:f>('16.8-1'!$B$31,'16.8-1'!$B$31)</c:f>
              <c:numCache>
                <c:formatCode>General</c:formatCode>
                <c:ptCount val="2"/>
                <c:pt idx="0">
                  <c:v>49.707142857142863</c:v>
                </c:pt>
                <c:pt idx="1">
                  <c:v>49.707142857142863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118-4937-B476-3CECFF63B46E}"/>
            </c:ext>
          </c:extLst>
        </c:ser>
        <c:ser>
          <c:idx val="7"/>
          <c:order val="7"/>
          <c:tx>
            <c:v>Mean x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xVal>
          <c:yVal>
            <c:numRef>
              <c:f>'16.8-1'!$L$37:$L$38</c:f>
              <c:numCache>
                <c:formatCode>0.0</c:formatCode>
                <c:ptCount val="2"/>
                <c:pt idx="0">
                  <c:v>31.727861247535976</c:v>
                </c:pt>
                <c:pt idx="1">
                  <c:v>68.51439008743381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118-4937-B476-3CECFF63B4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3813536"/>
        <c:axId val="708667312"/>
      </c:scatterChart>
      <c:valAx>
        <c:axId val="1193813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'16.8-1'!$M$55</c:f>
              <c:strCache>
                <c:ptCount val="1"/>
                <c:pt idx="0">
                  <c:v>22. O2 x O2 Leverage</c:v>
                </c:pt>
              </c:strCache>
            </c:strRef>
          </c:tx>
          <c:layout>
            <c:manualLayout>
              <c:xMode val="edge"/>
              <c:yMode val="edge"/>
              <c:x val="0.3345890201224847"/>
              <c:y val="0.89387489063867021"/>
            </c:manualLayout>
          </c:layout>
          <c:overlay val="0"/>
          <c:spPr>
            <a:solidFill>
              <a:schemeClr val="bg1"/>
            </a:solidFill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8667312"/>
        <c:crosses val="autoZero"/>
        <c:crossBetween val="midCat"/>
      </c:valAx>
      <c:valAx>
        <c:axId val="708667312"/>
        <c:scaling>
          <c:orientation val="minMax"/>
          <c:max val="75"/>
          <c:min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NOx Leverage</a:t>
                </a:r>
              </a:p>
            </c:rich>
          </c:tx>
          <c:layout>
            <c:manualLayout>
              <c:xMode val="edge"/>
              <c:yMode val="edge"/>
              <c:x val="7.4999999999999997E-2"/>
              <c:y val="0.426283683289588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3813536"/>
        <c:crossesAt val="-1.5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5"/>
          <c:order val="0"/>
          <c:tx>
            <c:v>Unit Circle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'16.11-1'!$X$3:$X$27</c:f>
              <c:numCache>
                <c:formatCode>0.00</c:formatCode>
                <c:ptCount val="25"/>
                <c:pt idx="0">
                  <c:v>1</c:v>
                </c:pt>
                <c:pt idx="1">
                  <c:v>0.96592582628906831</c:v>
                </c:pt>
                <c:pt idx="2">
                  <c:v>0.86602540378443871</c:v>
                </c:pt>
                <c:pt idx="3">
                  <c:v>0.70710678118654757</c:v>
                </c:pt>
                <c:pt idx="4">
                  <c:v>0.50000000000000011</c:v>
                </c:pt>
                <c:pt idx="5">
                  <c:v>0.25881904510252074</c:v>
                </c:pt>
                <c:pt idx="6">
                  <c:v>6.123233995736766E-17</c:v>
                </c:pt>
                <c:pt idx="7">
                  <c:v>-0.25881904510252085</c:v>
                </c:pt>
                <c:pt idx="8">
                  <c:v>-0.49999999999999983</c:v>
                </c:pt>
                <c:pt idx="9">
                  <c:v>-0.70710678118654746</c:v>
                </c:pt>
                <c:pt idx="10">
                  <c:v>-0.86602540378443871</c:v>
                </c:pt>
                <c:pt idx="11">
                  <c:v>-0.9659258262890682</c:v>
                </c:pt>
                <c:pt idx="12">
                  <c:v>-1</c:v>
                </c:pt>
                <c:pt idx="13">
                  <c:v>-0.96592582628906831</c:v>
                </c:pt>
                <c:pt idx="14">
                  <c:v>-0.8660254037844386</c:v>
                </c:pt>
                <c:pt idx="15">
                  <c:v>-0.70710678118654768</c:v>
                </c:pt>
                <c:pt idx="16">
                  <c:v>-0.50000000000000044</c:v>
                </c:pt>
                <c:pt idx="17">
                  <c:v>-0.25881904510252063</c:v>
                </c:pt>
                <c:pt idx="18">
                  <c:v>-1.8369701987210297E-16</c:v>
                </c:pt>
                <c:pt idx="19">
                  <c:v>0.2588190451025203</c:v>
                </c:pt>
                <c:pt idx="20">
                  <c:v>0.50000000000000011</c:v>
                </c:pt>
                <c:pt idx="21">
                  <c:v>0.70710678118654735</c:v>
                </c:pt>
                <c:pt idx="22">
                  <c:v>0.86602540378443837</c:v>
                </c:pt>
                <c:pt idx="23">
                  <c:v>0.96592582628906831</c:v>
                </c:pt>
                <c:pt idx="24">
                  <c:v>1</c:v>
                </c:pt>
              </c:numCache>
            </c:numRef>
          </c:xVal>
          <c:yVal>
            <c:numRef>
              <c:f>'16.11-1'!$Y$3:$Y$27</c:f>
              <c:numCache>
                <c:formatCode>0.00</c:formatCode>
                <c:ptCount val="25"/>
                <c:pt idx="0">
                  <c:v>0</c:v>
                </c:pt>
                <c:pt idx="1">
                  <c:v>0.25881904510252074</c:v>
                </c:pt>
                <c:pt idx="2">
                  <c:v>0.49999999999999994</c:v>
                </c:pt>
                <c:pt idx="3">
                  <c:v>0.70710678118654746</c:v>
                </c:pt>
                <c:pt idx="4">
                  <c:v>0.8660254037844386</c:v>
                </c:pt>
                <c:pt idx="5">
                  <c:v>0.96592582628906831</c:v>
                </c:pt>
                <c:pt idx="6">
                  <c:v>1</c:v>
                </c:pt>
                <c:pt idx="7">
                  <c:v>0.96592582628906831</c:v>
                </c:pt>
                <c:pt idx="8">
                  <c:v>0.86602540378443871</c:v>
                </c:pt>
                <c:pt idx="9">
                  <c:v>0.70710678118654757</c:v>
                </c:pt>
                <c:pt idx="10">
                  <c:v>0.49999999999999994</c:v>
                </c:pt>
                <c:pt idx="11">
                  <c:v>0.25881904510252102</c:v>
                </c:pt>
                <c:pt idx="12">
                  <c:v>1.2246467991473532E-16</c:v>
                </c:pt>
                <c:pt idx="13">
                  <c:v>-0.25881904510252079</c:v>
                </c:pt>
                <c:pt idx="14">
                  <c:v>-0.50000000000000011</c:v>
                </c:pt>
                <c:pt idx="15">
                  <c:v>-0.70710678118654746</c:v>
                </c:pt>
                <c:pt idx="16">
                  <c:v>-0.86602540378443837</c:v>
                </c:pt>
                <c:pt idx="17">
                  <c:v>-0.96592582628906831</c:v>
                </c:pt>
                <c:pt idx="18">
                  <c:v>-1</c:v>
                </c:pt>
                <c:pt idx="19">
                  <c:v>-0.96592582628906842</c:v>
                </c:pt>
                <c:pt idx="20">
                  <c:v>-0.8660254037844386</c:v>
                </c:pt>
                <c:pt idx="21">
                  <c:v>-0.70710678118654768</c:v>
                </c:pt>
                <c:pt idx="22">
                  <c:v>-0.50000000000000044</c:v>
                </c:pt>
                <c:pt idx="23">
                  <c:v>-0.25881904510252068</c:v>
                </c:pt>
                <c:pt idx="24">
                  <c:v>-2.4492935982947064E-16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5C8-C849-8D21-D446D40E1307}"/>
            </c:ext>
          </c:extLst>
        </c:ser>
        <c:ser>
          <c:idx val="6"/>
          <c:order val="1"/>
          <c:tx>
            <c:v>Circle of Interest</c:v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'16.11-1'!$Z$3:$Z$27</c:f>
              <c:numCache>
                <c:formatCode>0.00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xVal>
          <c:yVal>
            <c:numRef>
              <c:f>'16.11-1'!$AA$3:$AA$27</c:f>
              <c:numCache>
                <c:formatCode>0.00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5C8-C849-8D21-D446D40E1307}"/>
            </c:ext>
          </c:extLst>
        </c:ser>
        <c:ser>
          <c:idx val="7"/>
          <c:order val="2"/>
          <c:tx>
            <c:v>Pt of Intest</c:v>
          </c:tx>
          <c:spPr>
            <a:ln w="15875" cap="rnd">
              <a:solidFill>
                <a:schemeClr val="tx1"/>
              </a:solidFill>
              <a:prstDash val="sysDash"/>
              <a:round/>
              <a:tailEnd type="arrow"/>
            </a:ln>
            <a:effectLst/>
          </c:spPr>
          <c:marker>
            <c:symbol val="square"/>
            <c:size val="7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75C8-C849-8D21-D446D40E1307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tx1"/>
                </a:solidFill>
                <a:ln w="1587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75C8-C849-8D21-D446D40E1307}"/>
              </c:ext>
            </c:extLst>
          </c:dPt>
          <c:xVal>
            <c:numRef>
              <c:f>'16.11-1'!$Q$30:$Q$31</c:f>
              <c:numCache>
                <c:formatCode>0.000</c:formatCode>
                <c:ptCount val="2"/>
                <c:pt idx="0" formatCode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'16.11-1'!$R$30:$R$31</c:f>
              <c:numCache>
                <c:formatCode>0.000</c:formatCode>
                <c:ptCount val="2"/>
                <c:pt idx="0" formatCode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5C8-C849-8D21-D446D40E1307}"/>
            </c:ext>
          </c:extLst>
        </c:ser>
        <c:ser>
          <c:idx val="9"/>
          <c:order val="3"/>
          <c:tx>
            <c:v>d1 axis</c:v>
          </c:tx>
          <c:spPr>
            <a:ln w="25400" cap="rnd">
              <a:solidFill>
                <a:schemeClr val="tx1">
                  <a:alpha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5-75C8-C849-8D21-D446D40E1307}"/>
            </c:ext>
          </c:extLst>
        </c:ser>
        <c:ser>
          <c:idx val="8"/>
          <c:order val="4"/>
          <c:tx>
            <c:v>d2 axis</c:v>
          </c:tx>
          <c:spPr>
            <a:ln w="25400" cap="rnd">
              <a:solidFill>
                <a:schemeClr val="tx1">
                  <a:alpha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xVal>
          <c:yVal>
            <c:numLit>
              <c:formatCode>General</c:formatCode>
              <c:ptCount val="2"/>
              <c:pt idx="0">
                <c:v>1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6-75C8-C849-8D21-D446D40E1307}"/>
            </c:ext>
          </c:extLst>
        </c:ser>
        <c:ser>
          <c:idx val="0"/>
          <c:order val="5"/>
          <c:tx>
            <c:v>Data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'16.11-1'!$Q$3:$Q$27</c:f>
              <c:numCache>
                <c:formatCode>0.000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xVal>
          <c:yVal>
            <c:numRef>
              <c:f>'16.11-1'!$R$3:$R$27</c:f>
              <c:numCache>
                <c:formatCode>0.000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5C8-C849-8D21-D446D40E13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8255296"/>
        <c:axId val="858259256"/>
      </c:scatterChart>
      <c:valAx>
        <c:axId val="858255296"/>
        <c:scaling>
          <c:orientation val="minMax"/>
          <c:max val="1.5"/>
          <c:min val="-1.5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crossAx val="858259256"/>
        <c:crosses val="autoZero"/>
        <c:crossBetween val="midCat"/>
        <c:majorUnit val="0.5"/>
      </c:valAx>
      <c:valAx>
        <c:axId val="858259256"/>
        <c:scaling>
          <c:orientation val="minMax"/>
          <c:max val="1.5"/>
          <c:min val="-1.5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crossAx val="858255296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alpha val="0"/>
      </a:schemeClr>
    </a:solidFill>
    <a:ln w="635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5"/>
          <c:order val="0"/>
          <c:tx>
            <c:v>Unit Circle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'16.11-1'!$X$3:$X$27</c:f>
              <c:numCache>
                <c:formatCode>0.00</c:formatCode>
                <c:ptCount val="25"/>
                <c:pt idx="0">
                  <c:v>1</c:v>
                </c:pt>
                <c:pt idx="1">
                  <c:v>0.96592582628906831</c:v>
                </c:pt>
                <c:pt idx="2">
                  <c:v>0.86602540378443871</c:v>
                </c:pt>
                <c:pt idx="3">
                  <c:v>0.70710678118654757</c:v>
                </c:pt>
                <c:pt idx="4">
                  <c:v>0.50000000000000011</c:v>
                </c:pt>
                <c:pt idx="5">
                  <c:v>0.25881904510252074</c:v>
                </c:pt>
                <c:pt idx="6">
                  <c:v>6.123233995736766E-17</c:v>
                </c:pt>
                <c:pt idx="7">
                  <c:v>-0.25881904510252085</c:v>
                </c:pt>
                <c:pt idx="8">
                  <c:v>-0.49999999999999983</c:v>
                </c:pt>
                <c:pt idx="9">
                  <c:v>-0.70710678118654746</c:v>
                </c:pt>
                <c:pt idx="10">
                  <c:v>-0.86602540378443871</c:v>
                </c:pt>
                <c:pt idx="11">
                  <c:v>-0.9659258262890682</c:v>
                </c:pt>
                <c:pt idx="12">
                  <c:v>-1</c:v>
                </c:pt>
                <c:pt idx="13">
                  <c:v>-0.96592582628906831</c:v>
                </c:pt>
                <c:pt idx="14">
                  <c:v>-0.8660254037844386</c:v>
                </c:pt>
                <c:pt idx="15">
                  <c:v>-0.70710678118654768</c:v>
                </c:pt>
                <c:pt idx="16">
                  <c:v>-0.50000000000000044</c:v>
                </c:pt>
                <c:pt idx="17">
                  <c:v>-0.25881904510252063</c:v>
                </c:pt>
                <c:pt idx="18">
                  <c:v>-1.8369701987210297E-16</c:v>
                </c:pt>
                <c:pt idx="19">
                  <c:v>0.2588190451025203</c:v>
                </c:pt>
                <c:pt idx="20">
                  <c:v>0.50000000000000011</c:v>
                </c:pt>
                <c:pt idx="21">
                  <c:v>0.70710678118654735</c:v>
                </c:pt>
                <c:pt idx="22">
                  <c:v>0.86602540378443837</c:v>
                </c:pt>
                <c:pt idx="23">
                  <c:v>0.96592582628906831</c:v>
                </c:pt>
                <c:pt idx="24">
                  <c:v>1</c:v>
                </c:pt>
              </c:numCache>
            </c:numRef>
          </c:xVal>
          <c:yVal>
            <c:numRef>
              <c:f>'16.11-1'!$Y$3:$Y$27</c:f>
              <c:numCache>
                <c:formatCode>0.00</c:formatCode>
                <c:ptCount val="25"/>
                <c:pt idx="0">
                  <c:v>0</c:v>
                </c:pt>
                <c:pt idx="1">
                  <c:v>0.25881904510252074</c:v>
                </c:pt>
                <c:pt idx="2">
                  <c:v>0.49999999999999994</c:v>
                </c:pt>
                <c:pt idx="3">
                  <c:v>0.70710678118654746</c:v>
                </c:pt>
                <c:pt idx="4">
                  <c:v>0.8660254037844386</c:v>
                </c:pt>
                <c:pt idx="5">
                  <c:v>0.96592582628906831</c:v>
                </c:pt>
                <c:pt idx="6">
                  <c:v>1</c:v>
                </c:pt>
                <c:pt idx="7">
                  <c:v>0.96592582628906831</c:v>
                </c:pt>
                <c:pt idx="8">
                  <c:v>0.86602540378443871</c:v>
                </c:pt>
                <c:pt idx="9">
                  <c:v>0.70710678118654757</c:v>
                </c:pt>
                <c:pt idx="10">
                  <c:v>0.49999999999999994</c:v>
                </c:pt>
                <c:pt idx="11">
                  <c:v>0.25881904510252102</c:v>
                </c:pt>
                <c:pt idx="12">
                  <c:v>1.2246467991473532E-16</c:v>
                </c:pt>
                <c:pt idx="13">
                  <c:v>-0.25881904510252079</c:v>
                </c:pt>
                <c:pt idx="14">
                  <c:v>-0.50000000000000011</c:v>
                </c:pt>
                <c:pt idx="15">
                  <c:v>-0.70710678118654746</c:v>
                </c:pt>
                <c:pt idx="16">
                  <c:v>-0.86602540378443837</c:v>
                </c:pt>
                <c:pt idx="17">
                  <c:v>-0.96592582628906831</c:v>
                </c:pt>
                <c:pt idx="18">
                  <c:v>-1</c:v>
                </c:pt>
                <c:pt idx="19">
                  <c:v>-0.96592582628906842</c:v>
                </c:pt>
                <c:pt idx="20">
                  <c:v>-0.8660254037844386</c:v>
                </c:pt>
                <c:pt idx="21">
                  <c:v>-0.70710678118654768</c:v>
                </c:pt>
                <c:pt idx="22">
                  <c:v>-0.50000000000000044</c:v>
                </c:pt>
                <c:pt idx="23">
                  <c:v>-0.25881904510252068</c:v>
                </c:pt>
                <c:pt idx="24">
                  <c:v>-2.4492935982947064E-16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114-DC46-94B0-B6231E6E7FF7}"/>
            </c:ext>
          </c:extLst>
        </c:ser>
        <c:ser>
          <c:idx val="7"/>
          <c:order val="1"/>
          <c:tx>
            <c:v>Pt of Intest</c:v>
          </c:tx>
          <c:spPr>
            <a:ln w="15875" cap="rnd">
              <a:solidFill>
                <a:schemeClr val="tx1"/>
              </a:solidFill>
              <a:prstDash val="sysDash"/>
              <a:round/>
              <a:tailEnd type="arrow"/>
            </a:ln>
            <a:effectLst/>
          </c:spPr>
          <c:marker>
            <c:symbol val="square"/>
            <c:size val="7"/>
            <c:spPr>
              <a:solidFill>
                <a:schemeClr val="tx1"/>
              </a:solidFill>
              <a:ln w="15875">
                <a:solidFill>
                  <a:schemeClr val="tx1"/>
                </a:solidFill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1-F114-DC46-94B0-B6231E6E7FF7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tx1"/>
                </a:solidFill>
                <a:ln w="1587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F114-DC46-94B0-B6231E6E7FF7}"/>
              </c:ext>
            </c:extLst>
          </c:dPt>
          <c:xVal>
            <c:numRef>
              <c:f>'16.11-1'!$S$30:$S$31</c:f>
              <c:numCache>
                <c:formatCode>0.000</c:formatCode>
                <c:ptCount val="2"/>
                <c:pt idx="0" formatCode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'16.11-1'!$T$30:$T$31</c:f>
              <c:numCache>
                <c:formatCode>0.000</c:formatCode>
                <c:ptCount val="2"/>
                <c:pt idx="0" formatCode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114-DC46-94B0-B6231E6E7FF7}"/>
            </c:ext>
          </c:extLst>
        </c:ser>
        <c:ser>
          <c:idx val="6"/>
          <c:order val="2"/>
          <c:tx>
            <c:v>Circle of Interest</c:v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'16.11-1'!$Z$3:$Z$27</c:f>
              <c:numCache>
                <c:formatCode>0.00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xVal>
          <c:yVal>
            <c:numRef>
              <c:f>'16.11-1'!$AA$3:$AA$27</c:f>
              <c:numCache>
                <c:formatCode>0.00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114-DC46-94B0-B6231E6E7FF7}"/>
            </c:ext>
          </c:extLst>
        </c:ser>
        <c:ser>
          <c:idx val="8"/>
          <c:order val="3"/>
          <c:tx>
            <c:v>d1 axis</c:v>
          </c:tx>
          <c:spPr>
            <a:ln w="25400" cap="rnd">
              <a:solidFill>
                <a:schemeClr val="tx1">
                  <a:alpha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5-F114-DC46-94B0-B6231E6E7FF7}"/>
            </c:ext>
          </c:extLst>
        </c:ser>
        <c:ser>
          <c:idx val="9"/>
          <c:order val="4"/>
          <c:tx>
            <c:v>d3 axis</c:v>
          </c:tx>
          <c:spPr>
            <a:ln w="25400" cap="rnd">
              <a:solidFill>
                <a:schemeClr val="tx1">
                  <a:alpha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6-F114-DC46-94B0-B6231E6E7FF7}"/>
            </c:ext>
          </c:extLst>
        </c:ser>
        <c:ser>
          <c:idx val="0"/>
          <c:order val="5"/>
          <c:tx>
            <c:v>Data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'16.11-1'!$S$3:$S$27</c:f>
              <c:numCache>
                <c:formatCode>0.000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xVal>
          <c:yVal>
            <c:numRef>
              <c:f>'16.11-1'!$T$3:$T$27</c:f>
              <c:numCache>
                <c:formatCode>0.000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114-DC46-94B0-B6231E6E7F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8255296"/>
        <c:axId val="858259256"/>
      </c:scatterChart>
      <c:valAx>
        <c:axId val="858255296"/>
        <c:scaling>
          <c:orientation val="minMax"/>
          <c:max val="1.5"/>
          <c:min val="-1.5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crossAx val="858259256"/>
        <c:crosses val="autoZero"/>
        <c:crossBetween val="midCat"/>
        <c:majorUnit val="0.5"/>
      </c:valAx>
      <c:valAx>
        <c:axId val="858259256"/>
        <c:scaling>
          <c:orientation val="minMax"/>
          <c:max val="1.5"/>
          <c:min val="-1.5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crossAx val="858255296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alpha val="0"/>
      </a:schemeClr>
    </a:solidFill>
    <a:ln w="635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5"/>
          <c:order val="0"/>
          <c:tx>
            <c:v>Unit Circle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'16.11-1'!$X$3:$X$27</c:f>
              <c:numCache>
                <c:formatCode>0.00</c:formatCode>
                <c:ptCount val="25"/>
                <c:pt idx="0">
                  <c:v>1</c:v>
                </c:pt>
                <c:pt idx="1">
                  <c:v>0.96592582628906831</c:v>
                </c:pt>
                <c:pt idx="2">
                  <c:v>0.86602540378443871</c:v>
                </c:pt>
                <c:pt idx="3">
                  <c:v>0.70710678118654757</c:v>
                </c:pt>
                <c:pt idx="4">
                  <c:v>0.50000000000000011</c:v>
                </c:pt>
                <c:pt idx="5">
                  <c:v>0.25881904510252074</c:v>
                </c:pt>
                <c:pt idx="6">
                  <c:v>6.123233995736766E-17</c:v>
                </c:pt>
                <c:pt idx="7">
                  <c:v>-0.25881904510252085</c:v>
                </c:pt>
                <c:pt idx="8">
                  <c:v>-0.49999999999999983</c:v>
                </c:pt>
                <c:pt idx="9">
                  <c:v>-0.70710678118654746</c:v>
                </c:pt>
                <c:pt idx="10">
                  <c:v>-0.86602540378443871</c:v>
                </c:pt>
                <c:pt idx="11">
                  <c:v>-0.9659258262890682</c:v>
                </c:pt>
                <c:pt idx="12">
                  <c:v>-1</c:v>
                </c:pt>
                <c:pt idx="13">
                  <c:v>-0.96592582628906831</c:v>
                </c:pt>
                <c:pt idx="14">
                  <c:v>-0.8660254037844386</c:v>
                </c:pt>
                <c:pt idx="15">
                  <c:v>-0.70710678118654768</c:v>
                </c:pt>
                <c:pt idx="16">
                  <c:v>-0.50000000000000044</c:v>
                </c:pt>
                <c:pt idx="17">
                  <c:v>-0.25881904510252063</c:v>
                </c:pt>
                <c:pt idx="18">
                  <c:v>-1.8369701987210297E-16</c:v>
                </c:pt>
                <c:pt idx="19">
                  <c:v>0.2588190451025203</c:v>
                </c:pt>
                <c:pt idx="20">
                  <c:v>0.50000000000000011</c:v>
                </c:pt>
                <c:pt idx="21">
                  <c:v>0.70710678118654735</c:v>
                </c:pt>
                <c:pt idx="22">
                  <c:v>0.86602540378443837</c:v>
                </c:pt>
                <c:pt idx="23">
                  <c:v>0.96592582628906831</c:v>
                </c:pt>
                <c:pt idx="24">
                  <c:v>1</c:v>
                </c:pt>
              </c:numCache>
            </c:numRef>
          </c:xVal>
          <c:yVal>
            <c:numRef>
              <c:f>'16.11-1'!$Y$3:$Y$27</c:f>
              <c:numCache>
                <c:formatCode>0.00</c:formatCode>
                <c:ptCount val="25"/>
                <c:pt idx="0">
                  <c:v>0</c:v>
                </c:pt>
                <c:pt idx="1">
                  <c:v>0.25881904510252074</c:v>
                </c:pt>
                <c:pt idx="2">
                  <c:v>0.49999999999999994</c:v>
                </c:pt>
                <c:pt idx="3">
                  <c:v>0.70710678118654746</c:v>
                </c:pt>
                <c:pt idx="4">
                  <c:v>0.8660254037844386</c:v>
                </c:pt>
                <c:pt idx="5">
                  <c:v>0.96592582628906831</c:v>
                </c:pt>
                <c:pt idx="6">
                  <c:v>1</c:v>
                </c:pt>
                <c:pt idx="7">
                  <c:v>0.96592582628906831</c:v>
                </c:pt>
                <c:pt idx="8">
                  <c:v>0.86602540378443871</c:v>
                </c:pt>
                <c:pt idx="9">
                  <c:v>0.70710678118654757</c:v>
                </c:pt>
                <c:pt idx="10">
                  <c:v>0.49999999999999994</c:v>
                </c:pt>
                <c:pt idx="11">
                  <c:v>0.25881904510252102</c:v>
                </c:pt>
                <c:pt idx="12">
                  <c:v>1.2246467991473532E-16</c:v>
                </c:pt>
                <c:pt idx="13">
                  <c:v>-0.25881904510252079</c:v>
                </c:pt>
                <c:pt idx="14">
                  <c:v>-0.50000000000000011</c:v>
                </c:pt>
                <c:pt idx="15">
                  <c:v>-0.70710678118654746</c:v>
                </c:pt>
                <c:pt idx="16">
                  <c:v>-0.86602540378443837</c:v>
                </c:pt>
                <c:pt idx="17">
                  <c:v>-0.96592582628906831</c:v>
                </c:pt>
                <c:pt idx="18">
                  <c:v>-1</c:v>
                </c:pt>
                <c:pt idx="19">
                  <c:v>-0.96592582628906842</c:v>
                </c:pt>
                <c:pt idx="20">
                  <c:v>-0.8660254037844386</c:v>
                </c:pt>
                <c:pt idx="21">
                  <c:v>-0.70710678118654768</c:v>
                </c:pt>
                <c:pt idx="22">
                  <c:v>-0.50000000000000044</c:v>
                </c:pt>
                <c:pt idx="23">
                  <c:v>-0.25881904510252068</c:v>
                </c:pt>
                <c:pt idx="24">
                  <c:v>-2.4492935982947064E-16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85B-BC4C-B3E7-F0C1322E4B67}"/>
            </c:ext>
          </c:extLst>
        </c:ser>
        <c:ser>
          <c:idx val="6"/>
          <c:order val="1"/>
          <c:tx>
            <c:v>Circle of Interest</c:v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'16.11-1'!$Z$3:$Z$27</c:f>
              <c:numCache>
                <c:formatCode>0.00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xVal>
          <c:yVal>
            <c:numRef>
              <c:f>'16.11-1'!$AA$3:$AA$27</c:f>
              <c:numCache>
                <c:formatCode>0.00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85B-BC4C-B3E7-F0C1322E4B67}"/>
            </c:ext>
          </c:extLst>
        </c:ser>
        <c:ser>
          <c:idx val="7"/>
          <c:order val="2"/>
          <c:tx>
            <c:v>Pt of Intest</c:v>
          </c:tx>
          <c:spPr>
            <a:ln w="15875" cap="rnd">
              <a:solidFill>
                <a:schemeClr val="tx1"/>
              </a:solidFill>
              <a:prstDash val="sysDash"/>
              <a:round/>
              <a:tailEnd type="arrow"/>
            </a:ln>
            <a:effectLst/>
          </c:spPr>
          <c:marker>
            <c:symbol val="plus"/>
            <c:size val="10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285B-BC4C-B3E7-F0C1322E4B67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tx1"/>
                </a:solidFill>
                <a:ln w="1587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285B-BC4C-B3E7-F0C1322E4B67}"/>
              </c:ext>
            </c:extLst>
          </c:dPt>
          <c:xVal>
            <c:numRef>
              <c:f>'16.11-1'!$U$30:$U$31</c:f>
              <c:numCache>
                <c:formatCode>0.000</c:formatCode>
                <c:ptCount val="2"/>
                <c:pt idx="0" formatCode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'16.11-1'!$V$30:$V$31</c:f>
              <c:numCache>
                <c:formatCode>0.000</c:formatCode>
                <c:ptCount val="2"/>
                <c:pt idx="0" formatCode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85B-BC4C-B3E7-F0C1322E4B67}"/>
            </c:ext>
          </c:extLst>
        </c:ser>
        <c:ser>
          <c:idx val="8"/>
          <c:order val="3"/>
          <c:tx>
            <c:v>d2 axis</c:v>
          </c:tx>
          <c:spPr>
            <a:ln w="25400" cap="rnd">
              <a:solidFill>
                <a:schemeClr val="tx1">
                  <a:alpha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5-285B-BC4C-B3E7-F0C1322E4B67}"/>
            </c:ext>
          </c:extLst>
        </c:ser>
        <c:ser>
          <c:idx val="9"/>
          <c:order val="4"/>
          <c:tx>
            <c:v>d3 axis</c:v>
          </c:tx>
          <c:spPr>
            <a:ln w="25400" cap="rnd">
              <a:solidFill>
                <a:schemeClr val="tx1">
                  <a:alpha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6-285B-BC4C-B3E7-F0C1322E4B67}"/>
            </c:ext>
          </c:extLst>
        </c:ser>
        <c:ser>
          <c:idx val="0"/>
          <c:order val="5"/>
          <c:tx>
            <c:v>Data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'16.11-1'!$U$3:$U$27</c:f>
              <c:numCache>
                <c:formatCode>0.000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xVal>
          <c:yVal>
            <c:numRef>
              <c:f>'16.11-1'!$V$3:$V$27</c:f>
              <c:numCache>
                <c:formatCode>0.000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85B-BC4C-B3E7-F0C1322E4B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8255296"/>
        <c:axId val="858259256"/>
      </c:scatterChart>
      <c:valAx>
        <c:axId val="858255296"/>
        <c:scaling>
          <c:orientation val="minMax"/>
          <c:max val="1.5"/>
          <c:min val="-1.5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crossAx val="858259256"/>
        <c:crosses val="autoZero"/>
        <c:crossBetween val="midCat"/>
        <c:majorUnit val="0.5"/>
      </c:valAx>
      <c:valAx>
        <c:axId val="858259256"/>
        <c:scaling>
          <c:orientation val="minMax"/>
          <c:max val="1.5"/>
          <c:min val="-1.5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crossAx val="8582552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alpha val="0"/>
      </a:schemeClr>
    </a:solidFill>
    <a:ln w="635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388648293963255"/>
          <c:y val="2.5428331875182269E-2"/>
          <c:w val="0.8331135170603674"/>
          <c:h val="0.81624635462233885"/>
        </c:manualLayout>
      </c:layout>
      <c:scatterChart>
        <c:scatterStyle val="smoothMarker"/>
        <c:varyColors val="0"/>
        <c:ser>
          <c:idx val="0"/>
          <c:order val="0"/>
          <c:tx>
            <c:v>H_A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'16.10-1 Basis'!$T$5:$T$55</c:f>
              <c:numCache>
                <c:formatCode>0.00</c:formatCode>
                <c:ptCount val="51"/>
                <c:pt idx="0">
                  <c:v>-4</c:v>
                </c:pt>
                <c:pt idx="1">
                  <c:v>-3.76</c:v>
                </c:pt>
                <c:pt idx="2">
                  <c:v>-3.5199999999999996</c:v>
                </c:pt>
                <c:pt idx="3">
                  <c:v>-3.2799999999999994</c:v>
                </c:pt>
                <c:pt idx="4">
                  <c:v>-3.0399999999999991</c:v>
                </c:pt>
                <c:pt idx="5">
                  <c:v>-2.7999999999999989</c:v>
                </c:pt>
                <c:pt idx="6">
                  <c:v>-2.5599999999999987</c:v>
                </c:pt>
                <c:pt idx="7">
                  <c:v>-2.3199999999999985</c:v>
                </c:pt>
                <c:pt idx="8">
                  <c:v>-2.0799999999999983</c:v>
                </c:pt>
                <c:pt idx="9">
                  <c:v>-1.8399999999999983</c:v>
                </c:pt>
                <c:pt idx="10">
                  <c:v>-1.5999999999999983</c:v>
                </c:pt>
                <c:pt idx="11">
                  <c:v>-1.3599999999999983</c:v>
                </c:pt>
                <c:pt idx="12">
                  <c:v>-1.1199999999999983</c:v>
                </c:pt>
                <c:pt idx="13">
                  <c:v>-0.87999999999999834</c:v>
                </c:pt>
                <c:pt idx="14">
                  <c:v>-0.63999999999999835</c:v>
                </c:pt>
                <c:pt idx="15">
                  <c:v>-0.39999999999999836</c:v>
                </c:pt>
                <c:pt idx="16">
                  <c:v>-0.15999999999999837</c:v>
                </c:pt>
                <c:pt idx="17">
                  <c:v>8.0000000000001625E-2</c:v>
                </c:pt>
                <c:pt idx="18">
                  <c:v>0.32000000000000162</c:v>
                </c:pt>
                <c:pt idx="19">
                  <c:v>0.56000000000000161</c:v>
                </c:pt>
                <c:pt idx="20">
                  <c:v>0.8000000000000016</c:v>
                </c:pt>
                <c:pt idx="21">
                  <c:v>1.0400000000000016</c:v>
                </c:pt>
                <c:pt idx="22">
                  <c:v>1.2800000000000016</c:v>
                </c:pt>
                <c:pt idx="23">
                  <c:v>1.5200000000000016</c:v>
                </c:pt>
                <c:pt idx="24">
                  <c:v>1.7600000000000016</c:v>
                </c:pt>
                <c:pt idx="25">
                  <c:v>2.0000000000000018</c:v>
                </c:pt>
                <c:pt idx="26">
                  <c:v>2.240000000000002</c:v>
                </c:pt>
                <c:pt idx="27">
                  <c:v>2.4800000000000022</c:v>
                </c:pt>
                <c:pt idx="28">
                  <c:v>2.7200000000000024</c:v>
                </c:pt>
                <c:pt idx="29">
                  <c:v>2.9600000000000026</c:v>
                </c:pt>
                <c:pt idx="30">
                  <c:v>3.2000000000000028</c:v>
                </c:pt>
                <c:pt idx="31">
                  <c:v>3.4400000000000031</c:v>
                </c:pt>
                <c:pt idx="32">
                  <c:v>3.6800000000000033</c:v>
                </c:pt>
                <c:pt idx="33">
                  <c:v>3.9200000000000035</c:v>
                </c:pt>
                <c:pt idx="34">
                  <c:v>4.1600000000000037</c:v>
                </c:pt>
                <c:pt idx="35">
                  <c:v>4.4000000000000039</c:v>
                </c:pt>
                <c:pt idx="36">
                  <c:v>4.6400000000000041</c:v>
                </c:pt>
                <c:pt idx="37">
                  <c:v>4.8800000000000043</c:v>
                </c:pt>
                <c:pt idx="38">
                  <c:v>5.1200000000000045</c:v>
                </c:pt>
                <c:pt idx="39">
                  <c:v>5.3600000000000048</c:v>
                </c:pt>
                <c:pt idx="40">
                  <c:v>5.600000000000005</c:v>
                </c:pt>
                <c:pt idx="41">
                  <c:v>5.8400000000000052</c:v>
                </c:pt>
                <c:pt idx="42">
                  <c:v>6.0800000000000054</c:v>
                </c:pt>
                <c:pt idx="43">
                  <c:v>6.3200000000000056</c:v>
                </c:pt>
                <c:pt idx="44">
                  <c:v>6.5600000000000058</c:v>
                </c:pt>
                <c:pt idx="45">
                  <c:v>6.800000000000006</c:v>
                </c:pt>
                <c:pt idx="46">
                  <c:v>7.0400000000000063</c:v>
                </c:pt>
                <c:pt idx="47">
                  <c:v>7.2800000000000065</c:v>
                </c:pt>
                <c:pt idx="48">
                  <c:v>7.5200000000000067</c:v>
                </c:pt>
                <c:pt idx="49">
                  <c:v>7.7600000000000069</c:v>
                </c:pt>
                <c:pt idx="50">
                  <c:v>8.0000000000000071</c:v>
                </c:pt>
              </c:numCache>
            </c:numRef>
          </c:xVal>
          <c:yVal>
            <c:numRef>
              <c:f>'16.10-1 Basis'!$V$5:$V$55</c:f>
              <c:numCache>
                <c:formatCode>0.0000</c:formatCode>
                <c:ptCount val="51"/>
                <c:pt idx="0">
                  <c:v>8.5875750954755858E-14</c:v>
                </c:pt>
                <c:pt idx="1">
                  <c:v>4.2516226945685186E-13</c:v>
                </c:pt>
                <c:pt idx="2">
                  <c:v>1.9855014097493817E-12</c:v>
                </c:pt>
                <c:pt idx="3">
                  <c:v>9.0588444604711993E-12</c:v>
                </c:pt>
                <c:pt idx="4">
                  <c:v>4.0169512453178574E-11</c:v>
                </c:pt>
                <c:pt idx="5">
                  <c:v>1.7286977405106548E-10</c:v>
                </c:pt>
                <c:pt idx="6">
                  <c:v>7.2042220279622291E-10</c:v>
                </c:pt>
                <c:pt idx="7">
                  <c:v>2.9011881020163216E-9</c:v>
                </c:pt>
                <c:pt idx="8">
                  <c:v>1.1264885018381384E-8</c:v>
                </c:pt>
                <c:pt idx="9">
                  <c:v>4.2082076229485369E-8</c:v>
                </c:pt>
                <c:pt idx="10">
                  <c:v>1.5092491478796448E-7</c:v>
                </c:pt>
                <c:pt idx="11">
                  <c:v>5.1857603211580347E-7</c:v>
                </c:pt>
                <c:pt idx="12">
                  <c:v>1.7036247697277432E-6</c:v>
                </c:pt>
                <c:pt idx="13">
                  <c:v>5.3407401290592031E-6</c:v>
                </c:pt>
                <c:pt idx="14">
                  <c:v>1.5947430118470925E-5</c:v>
                </c:pt>
                <c:pt idx="15">
                  <c:v>4.527757088146363E-5</c:v>
                </c:pt>
                <c:pt idx="16">
                  <c:v>1.220313075096803E-4</c:v>
                </c:pt>
                <c:pt idx="17">
                  <c:v>3.1174833371753541E-4</c:v>
                </c:pt>
                <c:pt idx="18">
                  <c:v>7.5386212905800148E-4</c:v>
                </c:pt>
                <c:pt idx="19">
                  <c:v>1.7234957999190342E-3</c:v>
                </c:pt>
                <c:pt idx="20">
                  <c:v>3.7213775395985521E-3</c:v>
                </c:pt>
                <c:pt idx="21">
                  <c:v>7.5820943631769557E-3</c:v>
                </c:pt>
                <c:pt idx="22">
                  <c:v>1.456658321651385E-2</c:v>
                </c:pt>
                <c:pt idx="23">
                  <c:v>2.6374016525793065E-2</c:v>
                </c:pt>
                <c:pt idx="24">
                  <c:v>4.4987167477080467E-2</c:v>
                </c:pt>
                <c:pt idx="25">
                  <c:v>7.2279527659656853E-2</c:v>
                </c:pt>
                <c:pt idx="26">
                  <c:v>0.10938374720917426</c:v>
                </c:pt>
                <c:pt idx="27">
                  <c:v>0.15594532046862028</c:v>
                </c:pt>
                <c:pt idx="28">
                  <c:v>0.20951628254719556</c:v>
                </c:pt>
                <c:pt idx="29">
                  <c:v>0.26540117027650084</c:v>
                </c:pt>
                <c:pt idx="30">
                  <c:v>0.31718155468974008</c:v>
                </c:pt>
                <c:pt idx="31">
                  <c:v>0.35791213176460829</c:v>
                </c:pt>
                <c:pt idx="32">
                  <c:v>0.38168976625536788</c:v>
                </c:pt>
                <c:pt idx="33">
                  <c:v>0.38509401802635579</c:v>
                </c:pt>
                <c:pt idx="34">
                  <c:v>0.36800303658191302</c:v>
                </c:pt>
                <c:pt idx="35">
                  <c:v>0.33351501301703329</c:v>
                </c:pt>
                <c:pt idx="36">
                  <c:v>0.28704467819429935</c:v>
                </c:pt>
                <c:pt idx="37">
                  <c:v>0.23495207231243803</c:v>
                </c:pt>
                <c:pt idx="38">
                  <c:v>0.18317241587801872</c:v>
                </c:pt>
                <c:pt idx="39">
                  <c:v>0.136229807474917</c:v>
                </c:pt>
                <c:pt idx="40">
                  <c:v>9.6809044835978103E-2</c:v>
                </c:pt>
                <c:pt idx="41">
                  <c:v>6.5842685358382502E-2</c:v>
                </c:pt>
                <c:pt idx="42">
                  <c:v>4.2931330042364158E-2</c:v>
                </c:pt>
                <c:pt idx="43">
                  <c:v>2.6881345942012295E-2</c:v>
                </c:pt>
                <c:pt idx="44">
                  <c:v>1.6191073323151943E-2</c:v>
                </c:pt>
                <c:pt idx="45">
                  <c:v>9.3969364380277944E-3</c:v>
                </c:pt>
                <c:pt idx="46">
                  <c:v>5.2640228156492497E-3</c:v>
                </c:pt>
                <c:pt idx="47">
                  <c:v>2.8510097855238598E-3</c:v>
                </c:pt>
                <c:pt idx="48">
                  <c:v>1.4953711974663487E-3</c:v>
                </c:pt>
                <c:pt idx="49">
                  <c:v>7.6081224085755507E-4</c:v>
                </c:pt>
                <c:pt idx="50">
                  <c:v>3.7607968432261352E-4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1F3-D648-8FC0-06A20D6B2612}"/>
            </c:ext>
          </c:extLst>
        </c:ser>
        <c:ser>
          <c:idx val="1"/>
          <c:order val="1"/>
          <c:tx>
            <c:v>H_O</c:v>
          </c:tx>
          <c:spPr>
            <a:ln w="19050" cap="rnd">
              <a:solidFill>
                <a:schemeClr val="tx1">
                  <a:alpha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'16.10-1 Basis'!$T$5:$T$55</c:f>
              <c:numCache>
                <c:formatCode>0.00</c:formatCode>
                <c:ptCount val="51"/>
                <c:pt idx="0">
                  <c:v>-4</c:v>
                </c:pt>
                <c:pt idx="1">
                  <c:v>-3.76</c:v>
                </c:pt>
                <c:pt idx="2">
                  <c:v>-3.5199999999999996</c:v>
                </c:pt>
                <c:pt idx="3">
                  <c:v>-3.2799999999999994</c:v>
                </c:pt>
                <c:pt idx="4">
                  <c:v>-3.0399999999999991</c:v>
                </c:pt>
                <c:pt idx="5">
                  <c:v>-2.7999999999999989</c:v>
                </c:pt>
                <c:pt idx="6">
                  <c:v>-2.5599999999999987</c:v>
                </c:pt>
                <c:pt idx="7">
                  <c:v>-2.3199999999999985</c:v>
                </c:pt>
                <c:pt idx="8">
                  <c:v>-2.0799999999999983</c:v>
                </c:pt>
                <c:pt idx="9">
                  <c:v>-1.8399999999999983</c:v>
                </c:pt>
                <c:pt idx="10">
                  <c:v>-1.5999999999999983</c:v>
                </c:pt>
                <c:pt idx="11">
                  <c:v>-1.3599999999999983</c:v>
                </c:pt>
                <c:pt idx="12">
                  <c:v>-1.1199999999999983</c:v>
                </c:pt>
                <c:pt idx="13">
                  <c:v>-0.87999999999999834</c:v>
                </c:pt>
                <c:pt idx="14">
                  <c:v>-0.63999999999999835</c:v>
                </c:pt>
                <c:pt idx="15">
                  <c:v>-0.39999999999999836</c:v>
                </c:pt>
                <c:pt idx="16">
                  <c:v>-0.15999999999999837</c:v>
                </c:pt>
                <c:pt idx="17">
                  <c:v>8.0000000000001625E-2</c:v>
                </c:pt>
                <c:pt idx="18">
                  <c:v>0.32000000000000162</c:v>
                </c:pt>
                <c:pt idx="19">
                  <c:v>0.56000000000000161</c:v>
                </c:pt>
                <c:pt idx="20">
                  <c:v>0.8000000000000016</c:v>
                </c:pt>
                <c:pt idx="21">
                  <c:v>1.0400000000000016</c:v>
                </c:pt>
                <c:pt idx="22">
                  <c:v>1.2800000000000016</c:v>
                </c:pt>
                <c:pt idx="23">
                  <c:v>1.5200000000000016</c:v>
                </c:pt>
                <c:pt idx="24">
                  <c:v>1.7600000000000016</c:v>
                </c:pt>
                <c:pt idx="25">
                  <c:v>2.0000000000000018</c:v>
                </c:pt>
                <c:pt idx="26">
                  <c:v>2.240000000000002</c:v>
                </c:pt>
                <c:pt idx="27">
                  <c:v>2.4800000000000022</c:v>
                </c:pt>
                <c:pt idx="28">
                  <c:v>2.7200000000000024</c:v>
                </c:pt>
                <c:pt idx="29">
                  <c:v>2.9600000000000026</c:v>
                </c:pt>
                <c:pt idx="30">
                  <c:v>3.2000000000000028</c:v>
                </c:pt>
                <c:pt idx="31">
                  <c:v>3.4400000000000031</c:v>
                </c:pt>
                <c:pt idx="32">
                  <c:v>3.6800000000000033</c:v>
                </c:pt>
                <c:pt idx="33">
                  <c:v>3.9200000000000035</c:v>
                </c:pt>
                <c:pt idx="34">
                  <c:v>4.1600000000000037</c:v>
                </c:pt>
                <c:pt idx="35">
                  <c:v>4.4000000000000039</c:v>
                </c:pt>
                <c:pt idx="36">
                  <c:v>4.6400000000000041</c:v>
                </c:pt>
                <c:pt idx="37">
                  <c:v>4.8800000000000043</c:v>
                </c:pt>
                <c:pt idx="38">
                  <c:v>5.1200000000000045</c:v>
                </c:pt>
                <c:pt idx="39">
                  <c:v>5.3600000000000048</c:v>
                </c:pt>
                <c:pt idx="40">
                  <c:v>5.600000000000005</c:v>
                </c:pt>
                <c:pt idx="41">
                  <c:v>5.8400000000000052</c:v>
                </c:pt>
                <c:pt idx="42">
                  <c:v>6.0800000000000054</c:v>
                </c:pt>
                <c:pt idx="43">
                  <c:v>6.3200000000000056</c:v>
                </c:pt>
                <c:pt idx="44">
                  <c:v>6.5600000000000058</c:v>
                </c:pt>
                <c:pt idx="45">
                  <c:v>6.800000000000006</c:v>
                </c:pt>
                <c:pt idx="46">
                  <c:v>7.0400000000000063</c:v>
                </c:pt>
                <c:pt idx="47">
                  <c:v>7.2800000000000065</c:v>
                </c:pt>
                <c:pt idx="48">
                  <c:v>7.5200000000000067</c:v>
                </c:pt>
                <c:pt idx="49">
                  <c:v>7.7600000000000069</c:v>
                </c:pt>
                <c:pt idx="50">
                  <c:v>8.0000000000000071</c:v>
                </c:pt>
              </c:numCache>
            </c:numRef>
          </c:xVal>
          <c:yVal>
            <c:numRef>
              <c:f>'16.10-1 Basis'!$U$5:$U$55</c:f>
              <c:numCache>
                <c:formatCode>0.0000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1F3-D648-8FC0-06A20D6B2612}"/>
            </c:ext>
          </c:extLst>
        </c:ser>
        <c:ser>
          <c:idx val="2"/>
          <c:order val="2"/>
          <c:tx>
            <c:v>LCL_0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('16.10-1 Basis'!$AD$21,'16.10-1 Basis'!$AD$21)</c:f>
              <c:numCache>
                <c:formatCode>0.000</c:formatCode>
                <c:ptCount val="2"/>
                <c:pt idx="0">
                  <c:v>-3.1824463052837091</c:v>
                </c:pt>
                <c:pt idx="1">
                  <c:v>-3.1824463052837091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0.2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2-31F3-D648-8FC0-06A20D6B2612}"/>
            </c:ext>
          </c:extLst>
        </c:ser>
        <c:ser>
          <c:idx val="3"/>
          <c:order val="3"/>
          <c:tx>
            <c:v>UCL_0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('16.10-1 Basis'!$AD$22,'16.10-1 Basis'!$AD$22)</c:f>
              <c:numCache>
                <c:formatCode>0.000</c:formatCode>
                <c:ptCount val="2"/>
                <c:pt idx="0">
                  <c:v>3.1824463052837091</c:v>
                </c:pt>
                <c:pt idx="1">
                  <c:v>3.1824463052837091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0.2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3-31F3-D648-8FC0-06A20D6B2612}"/>
            </c:ext>
          </c:extLst>
        </c:ser>
        <c:ser>
          <c:idx val="4"/>
          <c:order val="4"/>
          <c:tx>
            <c:v>Type II Region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cust"/>
            <c:noEndCap val="1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'16.10-1 Basis'!$AB$5:$AB$55</c:f>
                <c:numCache>
                  <c:formatCode>General</c:formatCode>
                  <c:ptCount val="51"/>
                  <c:pt idx="0">
                    <c:v>1.959153430483492E-8</c:v>
                  </c:pt>
                  <c:pt idx="1">
                    <c:v>3.0234868602183188E-8</c:v>
                  </c:pt>
                  <c:pt idx="2">
                    <c:v>4.645628993131694E-8</c:v>
                  </c:pt>
                  <c:pt idx="3">
                    <c:v>7.1063186679108777E-8</c:v>
                  </c:pt>
                  <c:pt idx="4">
                    <c:v>1.0821210332318473E-7</c:v>
                  </c:pt>
                  <c:pt idx="5">
                    <c:v>1.6402325168737462E-7</c:v>
                  </c:pt>
                  <c:pt idx="6">
                    <c:v>2.4745787244130811E-7</c:v>
                  </c:pt>
                  <c:pt idx="7">
                    <c:v>3.7156218616606998E-7</c:v>
                  </c:pt>
                  <c:pt idx="8">
                    <c:v>5.5521940415927012E-7</c:v>
                  </c:pt>
                  <c:pt idx="9">
                    <c:v>8.2559968359211605E-7</c:v>
                  </c:pt>
                  <c:pt idx="10">
                    <c:v>1.2215618078947344E-6</c:v>
                  </c:pt>
                  <c:pt idx="11">
                    <c:v>1.7983413376163672E-6</c:v>
                  </c:pt>
                  <c:pt idx="12">
                    <c:v>2.6339632861120884E-6</c:v>
                  </c:pt>
                  <c:pt idx="13">
                    <c:v>3.8379459691520682E-6</c:v>
                  </c:pt>
                  <c:pt idx="14">
                    <c:v>5.5630206807037865E-6</c:v>
                  </c:pt>
                  <c:pt idx="15">
                    <c:v>8.0207841800794357E-6</c:v>
                  </c:pt>
                  <c:pt idx="16">
                    <c:v>1.1502428047490302E-5</c:v>
                  </c:pt>
                  <c:pt idx="17">
                    <c:v>1.6405955229530454E-5</c:v>
                  </c:pt>
                  <c:pt idx="18">
                    <c:v>2.3271596469755963E-5</c:v>
                  </c:pt>
                  <c:pt idx="19">
                    <c:v>3.2827473152573554E-5</c:v>
                  </c:pt>
                  <c:pt idx="20">
                    <c:v>4.6047912709531673E-5</c:v>
                  </c:pt>
                  <c:pt idx="21">
                    <c:v>6.4227187586343818E-5</c:v>
                  </c:pt>
                  <c:pt idx="22">
                    <c:v>8.9071802412931701E-5</c:v>
                  </c:pt>
                  <c:pt idx="23">
                    <c:v>1.228147593634722E-4</c:v>
                  </c:pt>
                  <c:pt idx="24">
                    <c:v>1.6835545178388881E-4</c:v>
                  </c:pt>
                  <c:pt idx="25">
                    <c:v>2.2942891480424272E-4</c:v>
                  </c:pt>
                  <c:pt idx="26">
                    <c:v>3.1080804304858741E-4</c:v>
                  </c:pt>
                  <c:pt idx="27">
                    <c:v>4.1854198182192343E-4</c:v>
                  </c:pt>
                  <c:pt idx="28">
                    <c:v>5.602331569404096E-4</c:v>
                  </c:pt>
                  <c:pt idx="29">
                    <c:v>7.4535421691141097E-4</c:v>
                  </c:pt>
                  <c:pt idx="30">
                    <c:v>9.8560446653945828E-4</c:v>
                  </c:pt>
                  <c:pt idx="31">
                    <c:v>1.2953030931873335E-3</c:v>
                  </c:pt>
                  <c:pt idx="32">
                    <c:v>1.69181358638471E-3</c:v>
                  </c:pt>
                  <c:pt idx="33">
                    <c:v>2.1959902162289658E-3</c:v>
                  </c:pt>
                  <c:pt idx="34">
                    <c:v>2.8326333011727866E-3</c:v>
                  </c:pt>
                  <c:pt idx="35">
                    <c:v>3.6309353547394657E-3</c:v>
                  </c:pt>
                  <c:pt idx="36">
                    <c:v>4.6248952162114719E-3</c:v>
                  </c:pt>
                  <c:pt idx="37">
                    <c:v>5.8536721824853765E-3</c:v>
                  </c:pt>
                  <c:pt idx="38">
                    <c:v>7.3618472876306705E-3</c:v>
                  </c:pt>
                  <c:pt idx="39">
                    <c:v>9.1995546207597357E-3</c:v>
                  </c:pt>
                  <c:pt idx="40">
                    <c:v>1.1422442394442759E-2</c:v>
                  </c:pt>
                  <c:pt idx="41">
                    <c:v>1.4091421882092635E-2</c:v>
                  </c:pt>
                  <c:pt idx="42">
                    <c:v>1.7272162853686161E-2</c:v>
                  </c:pt>
                  <c:pt idx="43">
                    <c:v>2.1034297247901696E-2</c:v>
                  </c:pt>
                  <c:pt idx="44">
                    <c:v>2.5450298942904168E-2</c:v>
                  </c:pt>
                  <c:pt idx="45">
                    <c:v>3.0594016916906497E-2</c:v>
                  </c:pt>
                  <c:pt idx="46">
                    <c:v>3.6538851930549246E-2</c:v>
                  </c:pt>
                  <c:pt idx="47">
                    <c:v>4.3355582991873517E-2</c:v>
                  </c:pt>
                  <c:pt idx="48">
                    <c:v>5.1109868886706974E-2</c:v>
                  </c:pt>
                  <c:pt idx="49">
                    <c:v>5.9859471285060563E-2</c:v>
                  </c:pt>
                  <c:pt idx="50">
                    <c:v>6.9651268386095797E-2</c:v>
                  </c:pt>
                </c:numCache>
              </c:numRef>
            </c:minus>
            <c:spPr>
              <a:noFill/>
              <a:ln w="31750" cap="flat" cmpd="sng" algn="ctr">
                <a:solidFill>
                  <a:schemeClr val="tx1">
                    <a:alpha val="50000"/>
                  </a:schemeClr>
                </a:solidFill>
                <a:round/>
              </a:ln>
              <a:effectLst/>
            </c:spPr>
          </c:errBars>
          <c:xVal>
            <c:numRef>
              <c:f>'16.10-1 Basis'!$AA$5:$AA$55</c:f>
              <c:numCache>
                <c:formatCode>0.0000</c:formatCode>
                <c:ptCount val="51"/>
                <c:pt idx="0">
                  <c:v>-3.1824463052837091</c:v>
                </c:pt>
                <c:pt idx="1">
                  <c:v>-3.0551484530723609</c:v>
                </c:pt>
                <c:pt idx="2">
                  <c:v>-2.9278506008610128</c:v>
                </c:pt>
                <c:pt idx="3">
                  <c:v>-2.8005527486496646</c:v>
                </c:pt>
                <c:pt idx="4">
                  <c:v>-2.6732548964383165</c:v>
                </c:pt>
                <c:pt idx="5">
                  <c:v>-2.5459570442269683</c:v>
                </c:pt>
                <c:pt idx="6">
                  <c:v>-2.4186591920156202</c:v>
                </c:pt>
                <c:pt idx="7">
                  <c:v>-2.291361339804272</c:v>
                </c:pt>
                <c:pt idx="8">
                  <c:v>-2.1640634875929239</c:v>
                </c:pt>
                <c:pt idx="9">
                  <c:v>-2.0367656353815757</c:v>
                </c:pt>
                <c:pt idx="10">
                  <c:v>-1.9094677831702274</c:v>
                </c:pt>
                <c:pt idx="11">
                  <c:v>-1.782169930958879</c:v>
                </c:pt>
                <c:pt idx="12">
                  <c:v>-1.6548720787475306</c:v>
                </c:pt>
                <c:pt idx="13">
                  <c:v>-1.5275742265361822</c:v>
                </c:pt>
                <c:pt idx="14">
                  <c:v>-1.4002763743248339</c:v>
                </c:pt>
                <c:pt idx="15">
                  <c:v>-1.2729785221134855</c:v>
                </c:pt>
                <c:pt idx="16">
                  <c:v>-1.1456806699021371</c:v>
                </c:pt>
                <c:pt idx="17">
                  <c:v>-1.0183828176907888</c:v>
                </c:pt>
                <c:pt idx="18">
                  <c:v>-0.89108496547944038</c:v>
                </c:pt>
                <c:pt idx="19">
                  <c:v>-0.76378711326809201</c:v>
                </c:pt>
                <c:pt idx="20">
                  <c:v>-0.63648926105674364</c:v>
                </c:pt>
                <c:pt idx="21">
                  <c:v>-0.50919140884539527</c:v>
                </c:pt>
                <c:pt idx="22">
                  <c:v>-0.38189355663404689</c:v>
                </c:pt>
                <c:pt idx="23">
                  <c:v>-0.25459570442269852</c:v>
                </c:pt>
                <c:pt idx="24">
                  <c:v>-0.12729785221135015</c:v>
                </c:pt>
                <c:pt idx="25">
                  <c:v>-1.7763568394002505E-15</c:v>
                </c:pt>
                <c:pt idx="26">
                  <c:v>0.1272978522113466</c:v>
                </c:pt>
                <c:pt idx="27">
                  <c:v>0.25459570442269497</c:v>
                </c:pt>
                <c:pt idx="28">
                  <c:v>0.38189355663404334</c:v>
                </c:pt>
                <c:pt idx="29">
                  <c:v>0.50919140884539171</c:v>
                </c:pt>
                <c:pt idx="30">
                  <c:v>0.63648926105674009</c:v>
                </c:pt>
                <c:pt idx="31">
                  <c:v>0.76378711326808846</c:v>
                </c:pt>
                <c:pt idx="32">
                  <c:v>0.89108496547943683</c:v>
                </c:pt>
                <c:pt idx="33">
                  <c:v>1.0183828176907852</c:v>
                </c:pt>
                <c:pt idx="34">
                  <c:v>1.1456806699021336</c:v>
                </c:pt>
                <c:pt idx="35">
                  <c:v>1.2729785221134819</c:v>
                </c:pt>
                <c:pt idx="36">
                  <c:v>1.4002763743248303</c:v>
                </c:pt>
                <c:pt idx="37">
                  <c:v>1.5275742265361787</c:v>
                </c:pt>
                <c:pt idx="38">
                  <c:v>1.6548720787475271</c:v>
                </c:pt>
                <c:pt idx="39">
                  <c:v>1.7821699309588754</c:v>
                </c:pt>
                <c:pt idx="40">
                  <c:v>1.9094677831702238</c:v>
                </c:pt>
                <c:pt idx="41">
                  <c:v>2.0367656353815722</c:v>
                </c:pt>
                <c:pt idx="42">
                  <c:v>2.1640634875929203</c:v>
                </c:pt>
                <c:pt idx="43">
                  <c:v>2.2913613398042685</c:v>
                </c:pt>
                <c:pt idx="44">
                  <c:v>2.4186591920156166</c:v>
                </c:pt>
                <c:pt idx="45">
                  <c:v>2.5459570442269648</c:v>
                </c:pt>
                <c:pt idx="46">
                  <c:v>2.6732548964383129</c:v>
                </c:pt>
                <c:pt idx="47">
                  <c:v>2.8005527486496611</c:v>
                </c:pt>
                <c:pt idx="48">
                  <c:v>2.9278506008610092</c:v>
                </c:pt>
                <c:pt idx="49">
                  <c:v>3.0551484530723574</c:v>
                </c:pt>
                <c:pt idx="50">
                  <c:v>3.1824463052837055</c:v>
                </c:pt>
              </c:numCache>
            </c:numRef>
          </c:xVal>
          <c:yVal>
            <c:numRef>
              <c:f>'16.10-1 Basis'!$AB$5:$AB$55</c:f>
              <c:numCache>
                <c:formatCode>0.00E+00</c:formatCode>
                <c:ptCount val="51"/>
                <c:pt idx="0">
                  <c:v>1.959153430483492E-8</c:v>
                </c:pt>
                <c:pt idx="1">
                  <c:v>3.0234868602183188E-8</c:v>
                </c:pt>
                <c:pt idx="2">
                  <c:v>4.645628993131694E-8</c:v>
                </c:pt>
                <c:pt idx="3">
                  <c:v>7.1063186679108777E-8</c:v>
                </c:pt>
                <c:pt idx="4">
                  <c:v>1.0821210332318473E-7</c:v>
                </c:pt>
                <c:pt idx="5">
                  <c:v>1.6402325168737462E-7</c:v>
                </c:pt>
                <c:pt idx="6">
                  <c:v>2.4745787244130811E-7</c:v>
                </c:pt>
                <c:pt idx="7">
                  <c:v>3.7156218616606998E-7</c:v>
                </c:pt>
                <c:pt idx="8">
                  <c:v>5.5521940415927012E-7</c:v>
                </c:pt>
                <c:pt idx="9">
                  <c:v>8.2559968359211605E-7</c:v>
                </c:pt>
                <c:pt idx="10">
                  <c:v>1.2215618078947344E-6</c:v>
                </c:pt>
                <c:pt idx="11">
                  <c:v>1.7983413376163672E-6</c:v>
                </c:pt>
                <c:pt idx="12">
                  <c:v>2.6339632861120884E-6</c:v>
                </c:pt>
                <c:pt idx="13">
                  <c:v>3.8379459691520682E-6</c:v>
                </c:pt>
                <c:pt idx="14">
                  <c:v>5.5630206807037865E-6</c:v>
                </c:pt>
                <c:pt idx="15">
                  <c:v>8.0207841800794357E-6</c:v>
                </c:pt>
                <c:pt idx="16">
                  <c:v>1.1502428047490302E-5</c:v>
                </c:pt>
                <c:pt idx="17">
                  <c:v>1.6405955229530454E-5</c:v>
                </c:pt>
                <c:pt idx="18">
                  <c:v>2.3271596469755963E-5</c:v>
                </c:pt>
                <c:pt idx="19">
                  <c:v>3.2827473152573554E-5</c:v>
                </c:pt>
                <c:pt idx="20">
                  <c:v>4.6047912709531673E-5</c:v>
                </c:pt>
                <c:pt idx="21">
                  <c:v>6.4227187586343818E-5</c:v>
                </c:pt>
                <c:pt idx="22">
                  <c:v>8.9071802412931701E-5</c:v>
                </c:pt>
                <c:pt idx="23">
                  <c:v>1.228147593634722E-4</c:v>
                </c:pt>
                <c:pt idx="24">
                  <c:v>1.6835545178388881E-4</c:v>
                </c:pt>
                <c:pt idx="25">
                  <c:v>2.2942891480424272E-4</c:v>
                </c:pt>
                <c:pt idx="26">
                  <c:v>3.1080804304858741E-4</c:v>
                </c:pt>
                <c:pt idx="27">
                  <c:v>4.1854198182192343E-4</c:v>
                </c:pt>
                <c:pt idx="28">
                  <c:v>5.602331569404096E-4</c:v>
                </c:pt>
                <c:pt idx="29">
                  <c:v>7.4535421691141097E-4</c:v>
                </c:pt>
                <c:pt idx="30">
                  <c:v>9.8560446653945828E-4</c:v>
                </c:pt>
                <c:pt idx="31">
                  <c:v>1.2953030931873335E-3</c:v>
                </c:pt>
                <c:pt idx="32">
                  <c:v>1.69181358638471E-3</c:v>
                </c:pt>
                <c:pt idx="33">
                  <c:v>2.1959902162289658E-3</c:v>
                </c:pt>
                <c:pt idx="34">
                  <c:v>2.8326333011727866E-3</c:v>
                </c:pt>
                <c:pt idx="35">
                  <c:v>3.6309353547394657E-3</c:v>
                </c:pt>
                <c:pt idx="36">
                  <c:v>4.6248952162114719E-3</c:v>
                </c:pt>
                <c:pt idx="37">
                  <c:v>5.8536721824853765E-3</c:v>
                </c:pt>
                <c:pt idx="38">
                  <c:v>7.3618472876306705E-3</c:v>
                </c:pt>
                <c:pt idx="39">
                  <c:v>9.1995546207597357E-3</c:v>
                </c:pt>
                <c:pt idx="40">
                  <c:v>1.1422442394442759E-2</c:v>
                </c:pt>
                <c:pt idx="41">
                  <c:v>1.4091421882092635E-2</c:v>
                </c:pt>
                <c:pt idx="42">
                  <c:v>1.7272162853686161E-2</c:v>
                </c:pt>
                <c:pt idx="43">
                  <c:v>2.1034297247901696E-2</c:v>
                </c:pt>
                <c:pt idx="44">
                  <c:v>2.5450298942904168E-2</c:v>
                </c:pt>
                <c:pt idx="45">
                  <c:v>3.0594016916906497E-2</c:v>
                </c:pt>
                <c:pt idx="46">
                  <c:v>3.6538851930549246E-2</c:v>
                </c:pt>
                <c:pt idx="47">
                  <c:v>4.3355582991873517E-2</c:v>
                </c:pt>
                <c:pt idx="48">
                  <c:v>5.1109868886706974E-2</c:v>
                </c:pt>
                <c:pt idx="49">
                  <c:v>5.9859471285060563E-2</c:v>
                </c:pt>
                <c:pt idx="50">
                  <c:v>6.9651268386095797E-2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1F3-D648-8FC0-06A20D6B2612}"/>
            </c:ext>
          </c:extLst>
        </c:ser>
        <c:ser>
          <c:idx val="5"/>
          <c:order val="5"/>
          <c:tx>
            <c:v>Type I Lower Region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cust"/>
            <c:noEndCap val="1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'16.10-1 Basis'!$X$5:$X$55</c:f>
                <c:numCache>
                  <c:formatCode>General</c:formatCode>
                  <c:ptCount val="51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</c:numCache>
              </c:numRef>
            </c:minus>
            <c:spPr>
              <a:noFill/>
              <a:ln w="25400" cap="flat" cmpd="sng" algn="ctr">
                <a:solidFill>
                  <a:schemeClr val="tx1">
                    <a:alpha val="10000"/>
                  </a:schemeClr>
                </a:solidFill>
                <a:round/>
              </a:ln>
              <a:effectLst/>
            </c:spPr>
          </c:errBars>
          <c:xVal>
            <c:numRef>
              <c:f>'16.10-1 Basis'!$W$5:$W$55</c:f>
              <c:numCache>
                <c:formatCode>0.0000</c:formatCode>
                <c:ptCount val="51"/>
                <c:pt idx="0">
                  <c:v>-4</c:v>
                </c:pt>
                <c:pt idx="1">
                  <c:v>-3.983648926105674</c:v>
                </c:pt>
                <c:pt idx="2">
                  <c:v>-3.967297852211348</c:v>
                </c:pt>
                <c:pt idx="3">
                  <c:v>-3.950946778317022</c:v>
                </c:pt>
                <c:pt idx="4">
                  <c:v>-3.934595704422696</c:v>
                </c:pt>
                <c:pt idx="5">
                  <c:v>-3.91824463052837</c:v>
                </c:pt>
                <c:pt idx="6">
                  <c:v>-3.901893556634044</c:v>
                </c:pt>
                <c:pt idx="7">
                  <c:v>-3.885542482739718</c:v>
                </c:pt>
                <c:pt idx="8">
                  <c:v>-3.869191408845392</c:v>
                </c:pt>
                <c:pt idx="9">
                  <c:v>-3.852840334951066</c:v>
                </c:pt>
                <c:pt idx="10">
                  <c:v>-3.83648926105674</c:v>
                </c:pt>
                <c:pt idx="11">
                  <c:v>-3.820138187162414</c:v>
                </c:pt>
                <c:pt idx="12">
                  <c:v>-3.803787113268088</c:v>
                </c:pt>
                <c:pt idx="13">
                  <c:v>-3.7874360393737621</c:v>
                </c:pt>
                <c:pt idx="14">
                  <c:v>-3.7710849654794361</c:v>
                </c:pt>
                <c:pt idx="15">
                  <c:v>-3.7547338915851101</c:v>
                </c:pt>
                <c:pt idx="16">
                  <c:v>-3.7383828176907841</c:v>
                </c:pt>
                <c:pt idx="17">
                  <c:v>-3.7220317437964581</c:v>
                </c:pt>
                <c:pt idx="18">
                  <c:v>-3.7056806699021321</c:v>
                </c:pt>
                <c:pt idx="19">
                  <c:v>-3.6893295960078061</c:v>
                </c:pt>
                <c:pt idx="20">
                  <c:v>-3.6729785221134801</c:v>
                </c:pt>
                <c:pt idx="21">
                  <c:v>-3.6566274482191541</c:v>
                </c:pt>
                <c:pt idx="22">
                  <c:v>-3.6402763743248281</c:v>
                </c:pt>
                <c:pt idx="23">
                  <c:v>-3.6239253004305021</c:v>
                </c:pt>
                <c:pt idx="24">
                  <c:v>-3.6075742265361761</c:v>
                </c:pt>
                <c:pt idx="25">
                  <c:v>-3.5912231526418501</c:v>
                </c:pt>
                <c:pt idx="26">
                  <c:v>-3.5748720787475241</c:v>
                </c:pt>
                <c:pt idx="27">
                  <c:v>-3.5585210048531981</c:v>
                </c:pt>
                <c:pt idx="28">
                  <c:v>-3.5421699309588721</c:v>
                </c:pt>
                <c:pt idx="29">
                  <c:v>-3.5258188570645461</c:v>
                </c:pt>
                <c:pt idx="30">
                  <c:v>-3.5094677831702201</c:v>
                </c:pt>
                <c:pt idx="31">
                  <c:v>-3.4931167092758941</c:v>
                </c:pt>
                <c:pt idx="32">
                  <c:v>-3.4767656353815681</c:v>
                </c:pt>
                <c:pt idx="33">
                  <c:v>-3.4604145614872421</c:v>
                </c:pt>
                <c:pt idx="34">
                  <c:v>-3.4440634875929161</c:v>
                </c:pt>
                <c:pt idx="35">
                  <c:v>-3.4277124136985901</c:v>
                </c:pt>
                <c:pt idx="36">
                  <c:v>-3.4113613398042641</c:v>
                </c:pt>
                <c:pt idx="37">
                  <c:v>-3.3950102659099382</c:v>
                </c:pt>
                <c:pt idx="38">
                  <c:v>-3.3786591920156122</c:v>
                </c:pt>
                <c:pt idx="39">
                  <c:v>-3.3623081181212862</c:v>
                </c:pt>
                <c:pt idx="40">
                  <c:v>-3.3459570442269602</c:v>
                </c:pt>
                <c:pt idx="41">
                  <c:v>-3.3296059703326342</c:v>
                </c:pt>
                <c:pt idx="42">
                  <c:v>-3.3132548964383082</c:v>
                </c:pt>
                <c:pt idx="43">
                  <c:v>-3.2969038225439822</c:v>
                </c:pt>
                <c:pt idx="44">
                  <c:v>-3.2805527486496562</c:v>
                </c:pt>
                <c:pt idx="45">
                  <c:v>-3.2642016747553302</c:v>
                </c:pt>
                <c:pt idx="46">
                  <c:v>-3.2478506008610042</c:v>
                </c:pt>
                <c:pt idx="47">
                  <c:v>-3.2314995269666782</c:v>
                </c:pt>
                <c:pt idx="48">
                  <c:v>-3.2151484530723522</c:v>
                </c:pt>
                <c:pt idx="49">
                  <c:v>-3.1987973791780262</c:v>
                </c:pt>
                <c:pt idx="50">
                  <c:v>-3.1824463052837002</c:v>
                </c:pt>
              </c:numCache>
            </c:numRef>
          </c:xVal>
          <c:yVal>
            <c:numRef>
              <c:f>'16.10-1 Basis'!$X$5:$X$55</c:f>
              <c:numCache>
                <c:formatCode>0.0000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1F3-D648-8FC0-06A20D6B2612}"/>
            </c:ext>
          </c:extLst>
        </c:ser>
        <c:ser>
          <c:idx val="6"/>
          <c:order val="6"/>
          <c:tx>
            <c:v>Type I Upper Region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cust"/>
            <c:noEndCap val="1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'16.10-1 Basis'!$Z$5:$Z$55</c:f>
                <c:numCache>
                  <c:formatCode>General</c:formatCode>
                  <c:ptCount val="51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</c:numCache>
              </c:numRef>
            </c:minus>
            <c:spPr>
              <a:noFill/>
              <a:ln w="44450" cap="flat" cmpd="sng" algn="ctr">
                <a:solidFill>
                  <a:schemeClr val="tx1">
                    <a:alpha val="15000"/>
                  </a:schemeClr>
                </a:solidFill>
                <a:round/>
              </a:ln>
              <a:effectLst/>
            </c:spPr>
          </c:errBars>
          <c:xVal>
            <c:numRef>
              <c:f>'16.10-1 Basis'!$Y$5:$Y$55</c:f>
              <c:numCache>
                <c:formatCode>0.0000</c:formatCode>
                <c:ptCount val="51"/>
                <c:pt idx="0">
                  <c:v>3.1824463052837091</c:v>
                </c:pt>
                <c:pt idx="1">
                  <c:v>3.2787973791780347</c:v>
                </c:pt>
                <c:pt idx="2">
                  <c:v>3.3751484530723603</c:v>
                </c:pt>
                <c:pt idx="3">
                  <c:v>3.471499526966686</c:v>
                </c:pt>
                <c:pt idx="4">
                  <c:v>3.5678506008610116</c:v>
                </c:pt>
                <c:pt idx="5">
                  <c:v>3.6642016747553372</c:v>
                </c:pt>
                <c:pt idx="6">
                  <c:v>3.7605527486496628</c:v>
                </c:pt>
                <c:pt idx="7">
                  <c:v>3.8569038225439884</c:v>
                </c:pt>
                <c:pt idx="8">
                  <c:v>3.9532548964383141</c:v>
                </c:pt>
                <c:pt idx="9">
                  <c:v>4.0496059703326397</c:v>
                </c:pt>
                <c:pt idx="10">
                  <c:v>4.1459570442269653</c:v>
                </c:pt>
                <c:pt idx="11">
                  <c:v>4.2423081181212909</c:v>
                </c:pt>
                <c:pt idx="12">
                  <c:v>4.3386591920156166</c:v>
                </c:pt>
                <c:pt idx="13">
                  <c:v>4.4350102659099422</c:v>
                </c:pt>
                <c:pt idx="14">
                  <c:v>4.5313613398042678</c:v>
                </c:pt>
                <c:pt idx="15">
                  <c:v>4.6277124136985934</c:v>
                </c:pt>
                <c:pt idx="16">
                  <c:v>4.7240634875929191</c:v>
                </c:pt>
                <c:pt idx="17">
                  <c:v>4.8204145614872447</c:v>
                </c:pt>
                <c:pt idx="18">
                  <c:v>4.9167656353815703</c:v>
                </c:pt>
                <c:pt idx="19">
                  <c:v>5.0131167092758959</c:v>
                </c:pt>
                <c:pt idx="20">
                  <c:v>5.1094677831702215</c:v>
                </c:pt>
                <c:pt idx="21">
                  <c:v>5.2058188570645472</c:v>
                </c:pt>
                <c:pt idx="22">
                  <c:v>5.3021699309588728</c:v>
                </c:pt>
                <c:pt idx="23">
                  <c:v>5.3985210048531984</c:v>
                </c:pt>
                <c:pt idx="24">
                  <c:v>5.494872078747524</c:v>
                </c:pt>
                <c:pt idx="25">
                  <c:v>5.5912231526418497</c:v>
                </c:pt>
                <c:pt idx="26">
                  <c:v>5.6875742265361753</c:v>
                </c:pt>
                <c:pt idx="27">
                  <c:v>5.7839253004305009</c:v>
                </c:pt>
                <c:pt idx="28">
                  <c:v>5.8802763743248265</c:v>
                </c:pt>
                <c:pt idx="29">
                  <c:v>5.9766274482191521</c:v>
                </c:pt>
                <c:pt idx="30">
                  <c:v>6.0729785221134778</c:v>
                </c:pt>
                <c:pt idx="31">
                  <c:v>6.1693295960078034</c:v>
                </c:pt>
                <c:pt idx="32">
                  <c:v>6.265680669902129</c:v>
                </c:pt>
                <c:pt idx="33">
                  <c:v>6.3620317437964546</c:v>
                </c:pt>
                <c:pt idx="34">
                  <c:v>6.4583828176907803</c:v>
                </c:pt>
                <c:pt idx="35">
                  <c:v>6.5547338915851059</c:v>
                </c:pt>
                <c:pt idx="36">
                  <c:v>6.6510849654794315</c:v>
                </c:pt>
                <c:pt idx="37">
                  <c:v>6.7474360393737571</c:v>
                </c:pt>
                <c:pt idx="38">
                  <c:v>6.8437871132680828</c:v>
                </c:pt>
                <c:pt idx="39">
                  <c:v>6.9401381871624084</c:v>
                </c:pt>
                <c:pt idx="40">
                  <c:v>7.036489261056734</c:v>
                </c:pt>
                <c:pt idx="41">
                  <c:v>7.1328403349510596</c:v>
                </c:pt>
                <c:pt idx="42">
                  <c:v>7.2291914088453852</c:v>
                </c:pt>
                <c:pt idx="43">
                  <c:v>7.3255424827397109</c:v>
                </c:pt>
                <c:pt idx="44">
                  <c:v>7.4218935566340365</c:v>
                </c:pt>
                <c:pt idx="45">
                  <c:v>7.5182446305283621</c:v>
                </c:pt>
                <c:pt idx="46">
                  <c:v>7.6145957044226877</c:v>
                </c:pt>
                <c:pt idx="47">
                  <c:v>7.7109467783170134</c:v>
                </c:pt>
                <c:pt idx="48">
                  <c:v>7.807297852211339</c:v>
                </c:pt>
                <c:pt idx="49">
                  <c:v>7.9036489261056646</c:v>
                </c:pt>
                <c:pt idx="50">
                  <c:v>7.9999999999999902</c:v>
                </c:pt>
              </c:numCache>
            </c:numRef>
          </c:xVal>
          <c:yVal>
            <c:numRef>
              <c:f>'16.10-1 Basis'!$Z$5:$Z$55</c:f>
              <c:numCache>
                <c:formatCode>0.00E+00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1F3-D648-8FC0-06A20D6B26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0656031"/>
        <c:axId val="1810656511"/>
      </c:scatterChart>
      <c:valAx>
        <c:axId val="1810656031"/>
        <c:scaling>
          <c:orientation val="minMax"/>
          <c:max val="8"/>
          <c:min val="-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t</a:t>
                </a:r>
                <a:r>
                  <a:rPr lang="en-US" sz="1400" baseline="0"/>
                  <a:t>-Value</a:t>
                </a:r>
                <a:endParaRPr 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0656511"/>
        <c:crosses val="autoZero"/>
        <c:crossBetween val="midCat"/>
        <c:majorUnit val="1"/>
      </c:valAx>
      <c:valAx>
        <c:axId val="1810656511"/>
        <c:scaling>
          <c:orientation val="minMax"/>
          <c:max val="0.4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Probability</a:t>
                </a:r>
              </a:p>
            </c:rich>
          </c:tx>
          <c:layout>
            <c:manualLayout>
              <c:xMode val="edge"/>
              <c:yMode val="edge"/>
              <c:x val="0"/>
              <c:y val="0.347200662417197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0656031"/>
        <c:crossesAt val="-4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316371133351773E-2"/>
          <c:y val="2.7554450208628525E-2"/>
          <c:w val="0.93221953583671691"/>
          <c:h val="0.88155121817491611"/>
        </c:manualLayout>
      </c:layout>
      <c:scatterChart>
        <c:scatterStyle val="smoothMarker"/>
        <c:varyColors val="0"/>
        <c:ser>
          <c:idx val="0"/>
          <c:order val="0"/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'18.1-3'!$N$4:$N$24</c:f>
              <c:numCache>
                <c:formatCode>0%</c:formatCode>
                <c:ptCount val="21"/>
                <c:pt idx="0" formatCode="General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 formatCode="General">
                  <c:v>1.0000000000000002</c:v>
                </c:pt>
              </c:numCache>
            </c:numRef>
          </c:xVal>
          <c:yVal>
            <c:numRef>
              <c:f>'18.1-3'!$S$4:$S$24</c:f>
              <c:numCache>
                <c:formatCode>0.0%</c:formatCode>
                <c:ptCount val="21"/>
                <c:pt idx="0">
                  <c:v>0.55934339712107406</c:v>
                </c:pt>
                <c:pt idx="1">
                  <c:v>0.6460697579568242</c:v>
                </c:pt>
                <c:pt idx="2">
                  <c:v>0.72445544469939982</c:v>
                </c:pt>
                <c:pt idx="3">
                  <c:v>0.7937229542475458</c:v>
                </c:pt>
                <c:pt idx="4">
                  <c:v>0.85328981713333829</c:v>
                </c:pt>
                <c:pt idx="5">
                  <c:v>0.90276859752218552</c:v>
                </c:pt>
                <c:pt idx="6">
                  <c:v>0.94196689321282789</c:v>
                </c:pt>
                <c:pt idx="7">
                  <c:v>0.97088733563733731</c:v>
                </c:pt>
                <c:pt idx="8">
                  <c:v>0.98972758986111731</c:v>
                </c:pt>
                <c:pt idx="9">
                  <c:v>0.99888035458290336</c:v>
                </c:pt>
                <c:pt idx="10">
                  <c:v>0.99893336213476325</c:v>
                </c:pt>
                <c:pt idx="11">
                  <c:v>0.99066937848209591</c:v>
                </c:pt>
                <c:pt idx="12">
                  <c:v>0.97506620322363213</c:v>
                </c:pt>
                <c:pt idx="13">
                  <c:v>0.95329666959143478</c:v>
                </c:pt>
                <c:pt idx="14">
                  <c:v>0.92672864445089886</c:v>
                </c:pt>
                <c:pt idx="15">
                  <c:v>0.89692502830074983</c:v>
                </c:pt>
                <c:pt idx="16">
                  <c:v>0.8656437552730476</c:v>
                </c:pt>
                <c:pt idx="17">
                  <c:v>0.83483779313318007</c:v>
                </c:pt>
                <c:pt idx="18">
                  <c:v>0.80665514327987109</c:v>
                </c:pt>
                <c:pt idx="19">
                  <c:v>0.78343884074517256</c:v>
                </c:pt>
                <c:pt idx="20">
                  <c:v>0.76772695419447123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12-4C53-B6D6-776A52FCEDCA}"/>
            </c:ext>
          </c:extLst>
        </c:ser>
        <c:ser>
          <c:idx val="1"/>
          <c:order val="1"/>
          <c:tx>
            <c:v>Normalized Data</c:v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'18.1-3'!$C$4:$C$17</c:f>
              <c:numCache>
                <c:formatCode>0.0%</c:formatCode>
                <c:ptCount val="14"/>
                <c:pt idx="0">
                  <c:v>9.3023255813953501E-2</c:v>
                </c:pt>
                <c:pt idx="1">
                  <c:v>0.16279069767441859</c:v>
                </c:pt>
                <c:pt idx="2">
                  <c:v>0.23255813953488372</c:v>
                </c:pt>
                <c:pt idx="3">
                  <c:v>0.30232558139534887</c:v>
                </c:pt>
                <c:pt idx="4">
                  <c:v>0.372093023255814</c:v>
                </c:pt>
                <c:pt idx="5">
                  <c:v>0.44186046511627908</c:v>
                </c:pt>
                <c:pt idx="6">
                  <c:v>0.51162790697674421</c:v>
                </c:pt>
                <c:pt idx="7">
                  <c:v>0.58139534883720934</c:v>
                </c:pt>
                <c:pt idx="8">
                  <c:v>0.65116279069767435</c:v>
                </c:pt>
                <c:pt idx="9">
                  <c:v>0.72093023255813959</c:v>
                </c:pt>
                <c:pt idx="10">
                  <c:v>0.79069767441860461</c:v>
                </c:pt>
                <c:pt idx="11">
                  <c:v>0.86046511627906985</c:v>
                </c:pt>
                <c:pt idx="12">
                  <c:v>0.93023255813953487</c:v>
                </c:pt>
                <c:pt idx="13">
                  <c:v>1</c:v>
                </c:pt>
              </c:numCache>
            </c:numRef>
          </c:xVal>
          <c:yVal>
            <c:numRef>
              <c:f>'18.1-3'!$E$4:$E$17</c:f>
              <c:numCache>
                <c:formatCode>0.0%</c:formatCode>
                <c:ptCount val="14"/>
                <c:pt idx="0">
                  <c:v>0.71301737646470897</c:v>
                </c:pt>
                <c:pt idx="1">
                  <c:v>0.8127659213587356</c:v>
                </c:pt>
                <c:pt idx="2">
                  <c:v>0.8903481229429786</c:v>
                </c:pt>
                <c:pt idx="3">
                  <c:v>0.92729202845928471</c:v>
                </c:pt>
                <c:pt idx="4">
                  <c:v>0.99009666783700523</c:v>
                </c:pt>
                <c:pt idx="5">
                  <c:v>1.0011798394918971</c:v>
                </c:pt>
                <c:pt idx="6">
                  <c:v>1.0048742300435276</c:v>
                </c:pt>
                <c:pt idx="7">
                  <c:v>0.97162471507885206</c:v>
                </c:pt>
                <c:pt idx="8">
                  <c:v>0.94945837176906844</c:v>
                </c:pt>
                <c:pt idx="9">
                  <c:v>0.91251446625276222</c:v>
                </c:pt>
                <c:pt idx="10">
                  <c:v>0.88295934183971736</c:v>
                </c:pt>
                <c:pt idx="11">
                  <c:v>0.82384909301362741</c:v>
                </c:pt>
                <c:pt idx="12">
                  <c:v>0.79059957804895187</c:v>
                </c:pt>
                <c:pt idx="13">
                  <c:v>0.76843323473916825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12-4C53-B6D6-776A52FCEDCA}"/>
            </c:ext>
          </c:extLst>
        </c:ser>
        <c:ser>
          <c:idx val="2"/>
          <c:order val="2"/>
          <c:tx>
            <c:v>LCL</c:v>
          </c:tx>
          <c:spPr>
            <a:ln w="1270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'18.1-3'!$N$4:$N$24</c:f>
              <c:numCache>
                <c:formatCode>0%</c:formatCode>
                <c:ptCount val="21"/>
                <c:pt idx="0" formatCode="General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 formatCode="General">
                  <c:v>1.0000000000000002</c:v>
                </c:pt>
              </c:numCache>
            </c:numRef>
          </c:xVal>
          <c:yVal>
            <c:numRef>
              <c:f>'18.1-3'!$U$4:$U$24</c:f>
              <c:numCache>
                <c:formatCode>0.0%</c:formatCode>
                <c:ptCount val="21"/>
                <c:pt idx="0">
                  <c:v>0.49149533981564902</c:v>
                </c:pt>
                <c:pt idx="1">
                  <c:v>0.60803095499754356</c:v>
                </c:pt>
                <c:pt idx="2">
                  <c:v>0.70419802416801525</c:v>
                </c:pt>
                <c:pt idx="3">
                  <c:v>0.7799705394849975</c:v>
                </c:pt>
                <c:pt idx="4">
                  <c:v>0.83961548283536069</c:v>
                </c:pt>
                <c:pt idx="5">
                  <c:v>0.88892225111443612</c:v>
                </c:pt>
                <c:pt idx="6">
                  <c:v>0.92899916036655816</c:v>
                </c:pt>
                <c:pt idx="7">
                  <c:v>0.95911506220777487</c:v>
                </c:pt>
                <c:pt idx="8">
                  <c:v>0.97855922133807105</c:v>
                </c:pt>
                <c:pt idx="9">
                  <c:v>0.98749293349624123</c:v>
                </c:pt>
                <c:pt idx="10">
                  <c:v>0.98702569223688297</c:v>
                </c:pt>
                <c:pt idx="11">
                  <c:v>0.97854033823530107</c:v>
                </c:pt>
                <c:pt idx="12">
                  <c:v>0.96322373554883756</c:v>
                </c:pt>
                <c:pt idx="13">
                  <c:v>0.94197401352830834</c:v>
                </c:pt>
                <c:pt idx="14">
                  <c:v>0.91553025344506445</c:v>
                </c:pt>
                <c:pt idx="15">
                  <c:v>0.88500503364314342</c:v>
                </c:pt>
                <c:pt idx="16">
                  <c:v>0.85251095101857255</c:v>
                </c:pt>
                <c:pt idx="17">
                  <c:v>0.82094704287797993</c:v>
                </c:pt>
                <c:pt idx="18">
                  <c:v>0.79306708235570866</c:v>
                </c:pt>
                <c:pt idx="19">
                  <c:v>0.76934949974637434</c:v>
                </c:pt>
                <c:pt idx="20">
                  <c:v>0.7456902600684161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12-4C53-B6D6-776A52FCEDCA}"/>
            </c:ext>
          </c:extLst>
        </c:ser>
        <c:ser>
          <c:idx val="3"/>
          <c:order val="3"/>
          <c:tx>
            <c:v>UCL</c:v>
          </c:tx>
          <c:spPr>
            <a:ln w="1270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'18.1-3'!$N$4:$N$24</c:f>
              <c:numCache>
                <c:formatCode>0%</c:formatCode>
                <c:ptCount val="21"/>
                <c:pt idx="0" formatCode="General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 formatCode="General">
                  <c:v>1.0000000000000002</c:v>
                </c:pt>
              </c:numCache>
            </c:numRef>
          </c:xVal>
          <c:yVal>
            <c:numRef>
              <c:f>'18.1-3'!$V$4:$V$24</c:f>
              <c:numCache>
                <c:formatCode>0.0%</c:formatCode>
                <c:ptCount val="21"/>
                <c:pt idx="0">
                  <c:v>0.62719145442649915</c:v>
                </c:pt>
                <c:pt idx="1">
                  <c:v>0.68410856091610484</c:v>
                </c:pt>
                <c:pt idx="2">
                  <c:v>0.7447128652307845</c:v>
                </c:pt>
                <c:pt idx="3">
                  <c:v>0.80747536901009409</c:v>
                </c:pt>
                <c:pt idx="4">
                  <c:v>0.86696415143131589</c:v>
                </c:pt>
                <c:pt idx="5">
                  <c:v>0.91661494392993492</c:v>
                </c:pt>
                <c:pt idx="6">
                  <c:v>0.9549346260590974</c:v>
                </c:pt>
                <c:pt idx="7">
                  <c:v>0.98265960906689975</c:v>
                </c:pt>
                <c:pt idx="8">
                  <c:v>1.0008959583841637</c:v>
                </c:pt>
                <c:pt idx="9">
                  <c:v>1.0102677756695655</c:v>
                </c:pt>
                <c:pt idx="10">
                  <c:v>1.0108410320326435</c:v>
                </c:pt>
                <c:pt idx="11">
                  <c:v>1.0027984187288908</c:v>
                </c:pt>
                <c:pt idx="12">
                  <c:v>0.98690867089842671</c:v>
                </c:pt>
                <c:pt idx="13">
                  <c:v>0.96461932565456121</c:v>
                </c:pt>
                <c:pt idx="14">
                  <c:v>0.93792703545673328</c:v>
                </c:pt>
                <c:pt idx="15">
                  <c:v>0.90884502295835612</c:v>
                </c:pt>
                <c:pt idx="16">
                  <c:v>0.87877655952752265</c:v>
                </c:pt>
                <c:pt idx="17">
                  <c:v>0.84872854338838011</c:v>
                </c:pt>
                <c:pt idx="18">
                  <c:v>0.82024320420403352</c:v>
                </c:pt>
                <c:pt idx="19">
                  <c:v>0.79752818174397078</c:v>
                </c:pt>
                <c:pt idx="20">
                  <c:v>0.78976364832052648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712-4C53-B6D6-776A52FCEDCA}"/>
            </c:ext>
          </c:extLst>
        </c:ser>
        <c:ser>
          <c:idx val="4"/>
          <c:order val="4"/>
          <c:tx>
            <c:v>LPL</c:v>
          </c:tx>
          <c:spPr>
            <a:ln w="127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'18.1-3'!$N$4:$N$24</c:f>
              <c:numCache>
                <c:formatCode>0%</c:formatCode>
                <c:ptCount val="21"/>
                <c:pt idx="0" formatCode="General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 formatCode="General">
                  <c:v>1.0000000000000002</c:v>
                </c:pt>
              </c:numCache>
            </c:numRef>
          </c:xVal>
          <c:yVal>
            <c:numRef>
              <c:f>'18.1-3'!$X$4:$X$24</c:f>
              <c:numCache>
                <c:formatCode>0.0%</c:formatCode>
                <c:ptCount val="21"/>
                <c:pt idx="0">
                  <c:v>0.48740722451785895</c:v>
                </c:pt>
                <c:pt idx="1">
                  <c:v>0.60114310017712402</c:v>
                </c:pt>
                <c:pt idx="2">
                  <c:v>0.6931214833273569</c:v>
                </c:pt>
                <c:pt idx="3">
                  <c:v>0.76614428567053738</c:v>
                </c:pt>
                <c:pt idx="4">
                  <c:v>0.82575000109959973</c:v>
                </c:pt>
                <c:pt idx="5">
                  <c:v>0.87514296888639331</c:v>
                </c:pt>
                <c:pt idx="6">
                  <c:v>0.91477100852687698</c:v>
                </c:pt>
                <c:pt idx="7">
                  <c:v>0.94424075104606753</c:v>
                </c:pt>
                <c:pt idx="8">
                  <c:v>0.96334224347063213</c:v>
                </c:pt>
                <c:pt idx="9">
                  <c:v>0.97240154404156154</c:v>
                </c:pt>
                <c:pt idx="10">
                  <c:v>0.97222668411078961</c:v>
                </c:pt>
                <c:pt idx="11">
                  <c:v>0.96386326600774241</c:v>
                </c:pt>
                <c:pt idx="12">
                  <c:v>0.94838853298599946</c:v>
                </c:pt>
                <c:pt idx="13">
                  <c:v>0.92684564713476647</c:v>
                </c:pt>
                <c:pt idx="14">
                  <c:v>0.90033057615416789</c:v>
                </c:pt>
                <c:pt idx="15">
                  <c:v>0.87021285277503346</c:v>
                </c:pt>
                <c:pt idx="16">
                  <c:v>0.83836877413161193</c:v>
                </c:pt>
                <c:pt idx="17">
                  <c:v>0.80718988197642794</c:v>
                </c:pt>
                <c:pt idx="18">
                  <c:v>0.77915806255558206</c:v>
                </c:pt>
                <c:pt idx="19">
                  <c:v>0.75569062317251157</c:v>
                </c:pt>
                <c:pt idx="20">
                  <c:v>0.73521434223104032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712-4C53-B6D6-776A52FCEDCA}"/>
            </c:ext>
          </c:extLst>
        </c:ser>
        <c:ser>
          <c:idx val="5"/>
          <c:order val="5"/>
          <c:tx>
            <c:v>UPL</c:v>
          </c:tx>
          <c:spPr>
            <a:ln w="127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'18.1-3'!$N$4:$N$24</c:f>
              <c:numCache>
                <c:formatCode>0%</c:formatCode>
                <c:ptCount val="21"/>
                <c:pt idx="0" formatCode="General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 formatCode="General">
                  <c:v>1.0000000000000002</c:v>
                </c:pt>
              </c:numCache>
            </c:numRef>
          </c:xVal>
          <c:yVal>
            <c:numRef>
              <c:f>'18.1-3'!$Y$4:$Y$24</c:f>
              <c:numCache>
                <c:formatCode>0.0%</c:formatCode>
                <c:ptCount val="21"/>
                <c:pt idx="0">
                  <c:v>0.63127956972428922</c:v>
                </c:pt>
                <c:pt idx="1">
                  <c:v>0.69099641573652437</c:v>
                </c:pt>
                <c:pt idx="2">
                  <c:v>0.75578940607144274</c:v>
                </c:pt>
                <c:pt idx="3">
                  <c:v>0.82130162282455421</c:v>
                </c:pt>
                <c:pt idx="4">
                  <c:v>0.88082963316707685</c:v>
                </c:pt>
                <c:pt idx="5">
                  <c:v>0.93039422615797784</c:v>
                </c:pt>
                <c:pt idx="6">
                  <c:v>0.96916277789877869</c:v>
                </c:pt>
                <c:pt idx="7">
                  <c:v>0.9975339202286071</c:v>
                </c:pt>
                <c:pt idx="8">
                  <c:v>1.0161129362516026</c:v>
                </c:pt>
                <c:pt idx="9">
                  <c:v>1.0253591651242453</c:v>
                </c:pt>
                <c:pt idx="10">
                  <c:v>1.0256400401587369</c:v>
                </c:pt>
                <c:pt idx="11">
                  <c:v>1.0174754909564494</c:v>
                </c:pt>
                <c:pt idx="12">
                  <c:v>1.0017438734612649</c:v>
                </c:pt>
                <c:pt idx="13">
                  <c:v>0.97974769204810319</c:v>
                </c:pt>
                <c:pt idx="14">
                  <c:v>0.95312671274762983</c:v>
                </c:pt>
                <c:pt idx="15">
                  <c:v>0.92363720382646619</c:v>
                </c:pt>
                <c:pt idx="16">
                  <c:v>0.89291873641448316</c:v>
                </c:pt>
                <c:pt idx="17">
                  <c:v>0.86248570428993221</c:v>
                </c:pt>
                <c:pt idx="18">
                  <c:v>0.83415222400416011</c:v>
                </c:pt>
                <c:pt idx="19">
                  <c:v>0.81118705831783355</c:v>
                </c:pt>
                <c:pt idx="20">
                  <c:v>0.80023956615790226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712-4C53-B6D6-776A52FCED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8032256"/>
        <c:axId val="718089712"/>
      </c:scatterChart>
      <c:valAx>
        <c:axId val="718032256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8089712"/>
        <c:crosses val="autoZero"/>
        <c:crossBetween val="midCat"/>
        <c:majorUnit val="0.1"/>
      </c:valAx>
      <c:valAx>
        <c:axId val="718089712"/>
        <c:scaling>
          <c:orientation val="minMax"/>
          <c:max val="1.04"/>
          <c:min val="0.55000000000000004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80322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580927384076992E-2"/>
          <c:y val="3.0113478629178729E-2"/>
          <c:w val="0.90080557725162347"/>
          <c:h val="0.87055115030833563"/>
        </c:manualLayout>
      </c:layout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'20.3-1'!$A$2:$A$12</c:f>
              <c:numCache>
                <c:formatCode>General</c:formatCode>
                <c:ptCount val="11"/>
                <c:pt idx="0">
                  <c:v>20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50</c:v>
                </c:pt>
              </c:numCache>
            </c:numRef>
          </c:xVal>
          <c:yVal>
            <c:numRef>
              <c:f>'20.3-1'!$B$2:$B$12</c:f>
              <c:numCache>
                <c:formatCode>General</c:formatCode>
                <c:ptCount val="11"/>
                <c:pt idx="0">
                  <c:v>68.3</c:v>
                </c:pt>
                <c:pt idx="1">
                  <c:v>55.3</c:v>
                </c:pt>
                <c:pt idx="2">
                  <c:v>58.1</c:v>
                </c:pt>
                <c:pt idx="3">
                  <c:v>44.4</c:v>
                </c:pt>
                <c:pt idx="4">
                  <c:v>61.2</c:v>
                </c:pt>
                <c:pt idx="5">
                  <c:v>35.9</c:v>
                </c:pt>
                <c:pt idx="6">
                  <c:v>42.6</c:v>
                </c:pt>
                <c:pt idx="7">
                  <c:v>34.5</c:v>
                </c:pt>
                <c:pt idx="8">
                  <c:v>58.6</c:v>
                </c:pt>
                <c:pt idx="9">
                  <c:v>18.399999999999999</c:v>
                </c:pt>
                <c:pt idx="10">
                  <c:v>24.7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A9A-496C-AC09-3CD404C64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5188832"/>
        <c:axId val="1205190544"/>
      </c:scatterChart>
      <c:valAx>
        <c:axId val="1205188832"/>
        <c:scaling>
          <c:orientation val="minMax"/>
          <c:max val="50"/>
          <c:min val="2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400" b="1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Screw Speed</a:t>
                </a:r>
                <a:r>
                  <a:rPr lang="en-US" sz="1400" b="1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[%]</a:t>
                </a:r>
                <a:endParaRPr lang="en-US" sz="1400" b="1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1668961798729189"/>
              <c:y val="0.726103889596448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05190544"/>
        <c:crosses val="autoZero"/>
        <c:crossBetween val="midCat"/>
      </c:valAx>
      <c:valAx>
        <c:axId val="1205190544"/>
        <c:scaling>
          <c:orientation val="minMax"/>
          <c:max val="70"/>
          <c:min val="1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SO</a:t>
                </a:r>
                <a:r>
                  <a:rPr lang="en-US" sz="1200" b="1" baseline="-250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2</a:t>
                </a:r>
                <a:r>
                  <a:rPr lang="en-US" sz="1200" b="1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[ppm]</a:t>
                </a:r>
                <a:endParaRPr lang="en-US" sz="1200" b="1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11377344249197358"/>
              <c:y val="0.3265175022605595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05188832"/>
        <c:crosses val="autoZero"/>
        <c:crossBetween val="midCat"/>
        <c:majorUnit val="1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0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'11.5-1,2'!$S$3:$S$23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'11.5-1,2'!$W$3:$W$23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8-4895-A5C2-828EDF35984A}"/>
            </c:ext>
          </c:extLst>
        </c:ser>
        <c:ser>
          <c:idx val="1"/>
          <c:order val="1"/>
          <c:tx>
            <c:v>1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'11.5-1,2'!$S$3:$S$23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'11.5-1,2'!$X$3:$X$23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8-4895-A5C2-828EDF35984A}"/>
            </c:ext>
          </c:extLst>
        </c:ser>
        <c:ser>
          <c:idx val="2"/>
          <c:order val="2"/>
          <c:tx>
            <c:v>2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'11.5-1,2'!$S$3:$S$23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'11.5-1,2'!$Y$3:$Y$23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B8-4895-A5C2-828EDF35984A}"/>
            </c:ext>
          </c:extLst>
        </c:ser>
        <c:ser>
          <c:idx val="3"/>
          <c:order val="3"/>
          <c:tx>
            <c:v>3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'11.5-1,2'!$S$3:$S$23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'11.5-1,2'!$Z$3:$Z$23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B8-4895-A5C2-828EDF35984A}"/>
            </c:ext>
          </c:extLst>
        </c:ser>
        <c:ser>
          <c:idx val="4"/>
          <c:order val="4"/>
          <c:tx>
            <c:v>4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'11.5-1,2'!$S$3:$S$23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'11.5-1,2'!$AA$3:$AA$23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B8-4895-A5C2-828EDF3598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8141520"/>
        <c:axId val="1068143520"/>
      </c:scatterChart>
      <c:valAx>
        <c:axId val="1068141520"/>
        <c:scaling>
          <c:orientation val="minMax"/>
          <c:max val="4"/>
          <c:min val="-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8143520"/>
        <c:crosses val="autoZero"/>
        <c:crossBetween val="midCat"/>
      </c:valAx>
      <c:valAx>
        <c:axId val="106814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81415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Actual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'11.6-1,2'!$C$3:$C$11</c:f>
              <c:numCache>
                <c:formatCode>General</c:formatCode>
                <c:ptCount val="9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</c:numCache>
            </c:numRef>
          </c:xVal>
          <c:yVal>
            <c:numRef>
              <c:f>'11.6-1,2'!$L$3:$L$11</c:f>
              <c:numCache>
                <c:formatCode>0.000</c:formatCode>
                <c:ptCount val="9"/>
                <c:pt idx="0">
                  <c:v>3.1031588744443166</c:v>
                </c:pt>
                <c:pt idx="1">
                  <c:v>-1.6311125046603128</c:v>
                </c:pt>
                <c:pt idx="2">
                  <c:v>-4.3254442633728241</c:v>
                </c:pt>
                <c:pt idx="3">
                  <c:v>-4.8011686789397565</c:v>
                </c:pt>
                <c:pt idx="4">
                  <c:v>-4</c:v>
                </c:pt>
                <c:pt idx="5">
                  <c:v>-3.1182267093239635</c:v>
                </c:pt>
                <c:pt idx="6">
                  <c:v>-2.5068494097214606</c:v>
                </c:pt>
                <c:pt idx="7">
                  <c:v>-1.3488724885405781</c:v>
                </c:pt>
                <c:pt idx="8">
                  <c:v>1.5895538838284597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B57-45BA-8689-D101D418986E}"/>
            </c:ext>
          </c:extLst>
        </c:ser>
        <c:ser>
          <c:idx val="1"/>
          <c:order val="1"/>
          <c:tx>
            <c:v>y hat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'11.6-1,2'!$S$3:$S$23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'11.6-1,2'!$AB$3:$AB$23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B57-45BA-8689-D101D41898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9266752"/>
        <c:axId val="609268752"/>
      </c:scatterChart>
      <c:valAx>
        <c:axId val="609266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268752"/>
        <c:crosses val="autoZero"/>
        <c:crossBetween val="midCat"/>
      </c:valAx>
      <c:valAx>
        <c:axId val="60926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266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0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'11.6-1,2'!$S$3:$S$23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'11.6-1,2'!$W$3:$W$23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8F6-43F3-B6BC-05806D5BABCD}"/>
            </c:ext>
          </c:extLst>
        </c:ser>
        <c:ser>
          <c:idx val="1"/>
          <c:order val="1"/>
          <c:tx>
            <c:v>1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'11.6-1,2'!$S$3:$S$23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'11.6-1,2'!$X$3:$X$23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8F6-43F3-B6BC-05806D5BABCD}"/>
            </c:ext>
          </c:extLst>
        </c:ser>
        <c:ser>
          <c:idx val="2"/>
          <c:order val="2"/>
          <c:tx>
            <c:v>2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'11.6-1,2'!$S$3:$S$23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'11.6-1,2'!$Y$3:$Y$23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8F6-43F3-B6BC-05806D5BABCD}"/>
            </c:ext>
          </c:extLst>
        </c:ser>
        <c:ser>
          <c:idx val="3"/>
          <c:order val="3"/>
          <c:tx>
            <c:v>3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'11.6-1,2'!$S$3:$S$23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'11.6-1,2'!$Z$3:$Z$23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8F6-43F3-B6BC-05806D5BABCD}"/>
            </c:ext>
          </c:extLst>
        </c:ser>
        <c:ser>
          <c:idx val="4"/>
          <c:order val="4"/>
          <c:tx>
            <c:v>4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'11.6-1,2'!$S$3:$S$23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'11.6-1,2'!$AA$3:$AA$23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8F6-43F3-B6BC-05806D5BAB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8141520"/>
        <c:axId val="1068143520"/>
      </c:scatterChart>
      <c:valAx>
        <c:axId val="1068141520"/>
        <c:scaling>
          <c:orientation val="minMax"/>
          <c:max val="4"/>
          <c:min val="-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8143520"/>
        <c:crosses val="autoZero"/>
        <c:crossBetween val="midCat"/>
      </c:valAx>
      <c:valAx>
        <c:axId val="106814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81415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8341835113604195E-2"/>
          <c:y val="2.5428331875182269E-2"/>
          <c:w val="0.94735882519453962"/>
          <c:h val="0.94914333624963543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tx1"/>
              </a:solidFill>
              <a:ln w="15875">
                <a:solidFill>
                  <a:schemeClr val="tx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8.0027777777777795E-2"/>
                  <c:y val="-6.2465368912219307E-2"/>
                </c:manualLayout>
              </c:layout>
              <c:tx>
                <c:rich>
                  <a:bodyPr/>
                  <a:lstStyle/>
                  <a:p>
                    <a:fld id="{5380AE33-5DF6-2146-92BE-2BFCC8A9C5D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1D70-45B2-A200-E712788BEB2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E7098E5-5DDF-E949-ACFB-48FEB3C9386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1D70-45B2-A200-E712788BEB27}"/>
                </c:ext>
              </c:extLst>
            </c:dLbl>
            <c:dLbl>
              <c:idx val="2"/>
              <c:layout>
                <c:manualLayout>
                  <c:x val="-8.9214966984592817E-2"/>
                  <c:y val="-6.2465368912219307E-2"/>
                </c:manualLayout>
              </c:layout>
              <c:tx>
                <c:rich>
                  <a:bodyPr/>
                  <a:lstStyle/>
                  <a:p>
                    <a:fld id="{80BECE16-F930-094A-8A97-9E39B77F7DA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D70-45B2-A200-E712788BEB27}"/>
                </c:ext>
              </c:extLst>
            </c:dLbl>
            <c:dLbl>
              <c:idx val="3"/>
              <c:layout>
                <c:manualLayout>
                  <c:x val="-4.6911340777927447E-2"/>
                  <c:y val="-6.2465368912219307E-2"/>
                </c:manualLayout>
              </c:layout>
              <c:tx>
                <c:rich>
                  <a:bodyPr/>
                  <a:lstStyle/>
                  <a:p>
                    <a:fld id="{D8A524A7-22BA-574C-9DC8-F456D5B4196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1D70-45B2-A200-E712788BEB2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F2345A4-BC11-0C4E-A9A1-474CADF1DE4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1D70-45B2-A200-E712788BEB2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F11C624-521D-FA4E-9550-14FBC12317E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1D70-45B2-A200-E712788BEB2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2502747-5B21-3F4F-8436-A7858984F60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1D70-45B2-A200-E712788BEB2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'12.7-1'!$F$3:$F$9</c:f>
              <c:numCache>
                <c:formatCode>0.000</c:formatCode>
                <c:ptCount val="7"/>
                <c:pt idx="0">
                  <c:v>-1.4652337926855223</c:v>
                </c:pt>
                <c:pt idx="1">
                  <c:v>-0.79163860774337469</c:v>
                </c:pt>
                <c:pt idx="2">
                  <c:v>-0.36610635680056969</c:v>
                </c:pt>
                <c:pt idx="3">
                  <c:v>0</c:v>
                </c:pt>
                <c:pt idx="4">
                  <c:v>0.3661063568005698</c:v>
                </c:pt>
                <c:pt idx="5">
                  <c:v>0.79163860774337469</c:v>
                </c:pt>
                <c:pt idx="6">
                  <c:v>1.4652337926855228</c:v>
                </c:pt>
              </c:numCache>
            </c:numRef>
          </c:xVal>
          <c:yVal>
            <c:numRef>
              <c:f>'12.7-1'!$C$3:$C$9</c:f>
              <c:numCache>
                <c:formatCode>0.000</c:formatCode>
                <c:ptCount val="7"/>
                <c:pt idx="0">
                  <c:v>7.4999999999999997E-2</c:v>
                </c:pt>
                <c:pt idx="1">
                  <c:v>0.10000000000000009</c:v>
                </c:pt>
                <c:pt idx="2">
                  <c:v>0.47499999999999964</c:v>
                </c:pt>
                <c:pt idx="3">
                  <c:v>0.5</c:v>
                </c:pt>
                <c:pt idx="4">
                  <c:v>1.2999999999999998</c:v>
                </c:pt>
                <c:pt idx="5">
                  <c:v>3.2749999999999995</c:v>
                </c:pt>
                <c:pt idx="6">
                  <c:v>3.3749999999999996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'12.7-1'!$D$3:$D$9</c15:f>
                <c15:dlblRangeCache>
                  <c:ptCount val="7"/>
                  <c:pt idx="0">
                    <c:v>APH x BWT</c:v>
                  </c:pt>
                  <c:pt idx="1">
                    <c:v>O2 x APH x BWT</c:v>
                  </c:pt>
                  <c:pt idx="2">
                    <c:v>O2 x BWT</c:v>
                  </c:pt>
                  <c:pt idx="3">
                    <c:v>O2 x APH</c:v>
                  </c:pt>
                  <c:pt idx="4">
                    <c:v>BWT</c:v>
                  </c:pt>
                  <c:pt idx="5">
                    <c:v>APH</c:v>
                  </c:pt>
                  <c:pt idx="6">
                    <c:v>O2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7-1D70-45B2-A200-E712788BEB27}"/>
            </c:ext>
          </c:extLst>
        </c:ser>
        <c:ser>
          <c:idx val="1"/>
          <c:order val="1"/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'12.7-1'!$G$3:$G$9</c:f>
              <c:numCache>
                <c:formatCode>General</c:formatCode>
                <c:ptCount val="7"/>
                <c:pt idx="0">
                  <c:v>-2.1121316745237935</c:v>
                </c:pt>
                <c:pt idx="1">
                  <c:v>-1.1411455199419929</c:v>
                </c:pt>
                <c:pt idx="2">
                  <c:v>-0.52774160431130301</c:v>
                </c:pt>
                <c:pt idx="3">
                  <c:v>0</c:v>
                </c:pt>
                <c:pt idx="4">
                  <c:v>0.52774160431130313</c:v>
                </c:pt>
                <c:pt idx="5">
                  <c:v>1.1411455199419929</c:v>
                </c:pt>
                <c:pt idx="6">
                  <c:v>2.1121316745237939</c:v>
                </c:pt>
              </c:numCache>
            </c:numRef>
          </c:xVal>
          <c:yVal>
            <c:numRef>
              <c:f>'12.7-1'!$F$3:$F$9</c:f>
              <c:numCache>
                <c:formatCode>0.000</c:formatCode>
                <c:ptCount val="7"/>
                <c:pt idx="0">
                  <c:v>-1.4652337926855223</c:v>
                </c:pt>
                <c:pt idx="1">
                  <c:v>-0.79163860774337469</c:v>
                </c:pt>
                <c:pt idx="2">
                  <c:v>-0.36610635680056969</c:v>
                </c:pt>
                <c:pt idx="3">
                  <c:v>0</c:v>
                </c:pt>
                <c:pt idx="4">
                  <c:v>0.3661063568005698</c:v>
                </c:pt>
                <c:pt idx="5">
                  <c:v>0.79163860774337469</c:v>
                </c:pt>
                <c:pt idx="6">
                  <c:v>1.4652337926855228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D70-45B2-A200-E712788BEB27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none"/>
          </c:marker>
          <c:xVal>
            <c:numRef>
              <c:f>'12.7-1'!$F$3:$F$6</c:f>
              <c:numCache>
                <c:formatCode>0.000</c:formatCode>
                <c:ptCount val="4"/>
                <c:pt idx="0">
                  <c:v>-1.4652337926855223</c:v>
                </c:pt>
                <c:pt idx="1">
                  <c:v>-0.79163860774337469</c:v>
                </c:pt>
                <c:pt idx="2">
                  <c:v>-0.36610635680056969</c:v>
                </c:pt>
                <c:pt idx="3">
                  <c:v>0</c:v>
                </c:pt>
              </c:numCache>
            </c:numRef>
          </c:xVal>
          <c:yVal>
            <c:numRef>
              <c:f>'12.7-1'!$E$3:$E$6</c:f>
              <c:numCache>
                <c:formatCode>0.000</c:formatCode>
                <c:ptCount val="4"/>
                <c:pt idx="0">
                  <c:v>7.1428571428571425E-2</c:v>
                </c:pt>
                <c:pt idx="1">
                  <c:v>0.21428571428571427</c:v>
                </c:pt>
                <c:pt idx="2">
                  <c:v>0.35714285714285715</c:v>
                </c:pt>
                <c:pt idx="3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D70-45B2-A200-E712788BEB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1443664"/>
        <c:axId val="1098629936"/>
      </c:scatterChart>
      <c:valAx>
        <c:axId val="1071443664"/>
        <c:scaling>
          <c:orientation val="minMax"/>
          <c:max val="2"/>
          <c:min val="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Normal Ordinate</a:t>
                </a:r>
              </a:p>
            </c:rich>
          </c:tx>
          <c:layout>
            <c:manualLayout>
              <c:xMode val="edge"/>
              <c:yMode val="edge"/>
              <c:x val="0.62706165764495869"/>
              <c:y val="0.73516185476815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8629936"/>
        <c:crosses val="autoZero"/>
        <c:crossBetween val="midCat"/>
      </c:valAx>
      <c:valAx>
        <c:axId val="1098629936"/>
        <c:scaling>
          <c:orientation val="minMax"/>
          <c:max val="4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Coefficient Value</a:t>
                </a:r>
              </a:p>
            </c:rich>
          </c:tx>
          <c:layout>
            <c:manualLayout>
              <c:xMode val="edge"/>
              <c:yMode val="edge"/>
              <c:x val="0.3961848862802641"/>
              <c:y val="0.104664260717410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1443664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1. Fuel Staging, </a:t>
            </a:r>
            <a:r>
              <a:rPr lang="en-US" i="1"/>
              <a:t>p</a:t>
            </a:r>
            <a:r>
              <a:rPr lang="en-US"/>
              <a:t> = 0.3727</a:t>
            </a:r>
          </a:p>
        </c:rich>
      </c:tx>
      <c:layout>
        <c:manualLayout>
          <c:xMode val="edge"/>
          <c:yMode val="edge"/>
          <c:x val="0.11350770497345648"/>
          <c:y val="2.4582104228121928E-2"/>
        </c:manualLayout>
      </c:layout>
      <c:overlay val="0"/>
      <c:spPr>
        <a:solidFill>
          <a:schemeClr val="bg1">
            <a:alpha val="9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0520924467774864E-2"/>
          <c:y val="2.5428331875182269E-2"/>
          <c:w val="0.88533573928258968"/>
          <c:h val="0.89032042869641292"/>
        </c:manualLayout>
      </c:layout>
      <c:scatterChart>
        <c:scatterStyle val="lineMarker"/>
        <c:varyColors val="0"/>
        <c:ser>
          <c:idx val="0"/>
          <c:order val="0"/>
          <c:tx>
            <c:v>Leverage Points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'16.7-1,2,3'!$AE$3:$AE$30</c:f>
              <c:numCache>
                <c:formatCode>0.000</c:formatCode>
                <c:ptCount val="28"/>
                <c:pt idx="0">
                  <c:v>1.6144117922883838E-2</c:v>
                </c:pt>
                <c:pt idx="1">
                  <c:v>1.0166287352359804E-2</c:v>
                </c:pt>
                <c:pt idx="2">
                  <c:v>-1.1339182128283776E-2</c:v>
                </c:pt>
                <c:pt idx="3">
                  <c:v>-2.24897724270261E-2</c:v>
                </c:pt>
                <c:pt idx="4">
                  <c:v>6.5505437729054261E-3</c:v>
                </c:pt>
                <c:pt idx="5">
                  <c:v>4.0671495821995585E-3</c:v>
                </c:pt>
                <c:pt idx="6">
                  <c:v>1.1181143721266551E-2</c:v>
                </c:pt>
                <c:pt idx="7">
                  <c:v>4.0671495821995585E-3</c:v>
                </c:pt>
                <c:pt idx="8">
                  <c:v>6.1361817543772457E-3</c:v>
                </c:pt>
                <c:pt idx="9">
                  <c:v>-8.4596275970720836E-3</c:v>
                </c:pt>
                <c:pt idx="10">
                  <c:v>-1.9305615691547429E-2</c:v>
                </c:pt>
                <c:pt idx="11">
                  <c:v>3.4803921916637393E-4</c:v>
                </c:pt>
                <c:pt idx="12">
                  <c:v>3.4803921916637393E-4</c:v>
                </c:pt>
                <c:pt idx="13">
                  <c:v>3.4803921916637393E-4</c:v>
                </c:pt>
                <c:pt idx="14">
                  <c:v>7.2195556754719448E-3</c:v>
                </c:pt>
                <c:pt idx="15">
                  <c:v>7.2195556754719448E-3</c:v>
                </c:pt>
                <c:pt idx="16">
                  <c:v>7.2195556754719448E-3</c:v>
                </c:pt>
                <c:pt idx="17">
                  <c:v>-5.1410981719212101E-3</c:v>
                </c:pt>
                <c:pt idx="18">
                  <c:v>9.3845845239480807E-3</c:v>
                </c:pt>
                <c:pt idx="19">
                  <c:v>5.1661352458140519E-2</c:v>
                </c:pt>
                <c:pt idx="20">
                  <c:v>-4.4546983375776117E-3</c:v>
                </c:pt>
                <c:pt idx="21">
                  <c:v>-1.5672699817096181E-2</c:v>
                </c:pt>
                <c:pt idx="22">
                  <c:v>-4.0750869513862531E-2</c:v>
                </c:pt>
                <c:pt idx="23">
                  <c:v>-1.3885115197931341E-3</c:v>
                </c:pt>
                <c:pt idx="24">
                  <c:v>-1.9179113079527133E-3</c:v>
                </c:pt>
                <c:pt idx="25">
                  <c:v>-4.6116987670540288E-3</c:v>
                </c:pt>
                <c:pt idx="26">
                  <c:v>-4.6116987670540288E-3</c:v>
                </c:pt>
                <c:pt idx="27">
                  <c:v>-1.9179113079527133E-3</c:v>
                </c:pt>
              </c:numCache>
            </c:numRef>
          </c:xVal>
          <c:yVal>
            <c:numRef>
              <c:f>'16.7-1,2,3'!$AJ$3:$AJ$30</c:f>
              <c:numCache>
                <c:formatCode>0.0</c:formatCode>
                <c:ptCount val="28"/>
                <c:pt idx="0">
                  <c:v>50.411568934758229</c:v>
                </c:pt>
                <c:pt idx="1">
                  <c:v>57.214480953216373</c:v>
                </c:pt>
                <c:pt idx="2">
                  <c:v>45.121411133410234</c:v>
                </c:pt>
                <c:pt idx="3">
                  <c:v>43.790537175127959</c:v>
                </c:pt>
                <c:pt idx="4">
                  <c:v>48.462131798775843</c:v>
                </c:pt>
                <c:pt idx="5">
                  <c:v>49.5087572073381</c:v>
                </c:pt>
                <c:pt idx="6">
                  <c:v>48.828119740672804</c:v>
                </c:pt>
                <c:pt idx="7">
                  <c:v>48.608757207338101</c:v>
                </c:pt>
                <c:pt idx="8">
                  <c:v>49.237533488026202</c:v>
                </c:pt>
                <c:pt idx="9">
                  <c:v>50.711834574652691</c:v>
                </c:pt>
                <c:pt idx="10">
                  <c:v>54.679630773066421</c:v>
                </c:pt>
                <c:pt idx="11">
                  <c:v>49.927973903567725</c:v>
                </c:pt>
                <c:pt idx="12">
                  <c:v>51.027973903567727</c:v>
                </c:pt>
                <c:pt idx="13">
                  <c:v>52.127973903567721</c:v>
                </c:pt>
                <c:pt idx="14">
                  <c:v>51.41897299981818</c:v>
                </c:pt>
                <c:pt idx="15">
                  <c:v>51.41897299981818</c:v>
                </c:pt>
                <c:pt idx="16">
                  <c:v>52.41897299981818</c:v>
                </c:pt>
                <c:pt idx="17">
                  <c:v>50.685583039779857</c:v>
                </c:pt>
                <c:pt idx="18">
                  <c:v>40.020444906664082</c:v>
                </c:pt>
                <c:pt idx="19">
                  <c:v>61.569074278345632</c:v>
                </c:pt>
                <c:pt idx="20">
                  <c:v>42.084957419806592</c:v>
                </c:pt>
                <c:pt idx="21">
                  <c:v>47.709642030771278</c:v>
                </c:pt>
                <c:pt idx="22">
                  <c:v>60.056497038009972</c:v>
                </c:pt>
                <c:pt idx="23">
                  <c:v>53.863686838030866</c:v>
                </c:pt>
                <c:pt idx="24">
                  <c:v>49.62587393083971</c:v>
                </c:pt>
                <c:pt idx="25">
                  <c:v>45.821381445185828</c:v>
                </c:pt>
                <c:pt idx="26">
                  <c:v>41.321381445185828</c:v>
                </c:pt>
                <c:pt idx="27">
                  <c:v>44.12587393083971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772-4146-8760-94F90ADCA9A9}"/>
            </c:ext>
          </c:extLst>
        </c:ser>
        <c:ser>
          <c:idx val="1"/>
          <c:order val="1"/>
          <c:tx>
            <c:v>Mean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'16.7-1,2,3'!$B$37:$B$38</c:f>
              <c:numCache>
                <c:formatCode>0.000</c:formatCode>
                <c:ptCount val="2"/>
                <c:pt idx="0">
                  <c:v>-4.0750869513862531E-2</c:v>
                </c:pt>
                <c:pt idx="1">
                  <c:v>5.1661352458140519E-2</c:v>
                </c:pt>
              </c:numCache>
            </c:numRef>
          </c:xVal>
          <c:yVal>
            <c:numRef>
              <c:f>('16.7-1,2,3'!$B$31,'16.7-1,2,3'!$B$31)</c:f>
              <c:numCache>
                <c:formatCode>General</c:formatCode>
                <c:ptCount val="2"/>
                <c:pt idx="0">
                  <c:v>49.707142857142863</c:v>
                </c:pt>
                <c:pt idx="1">
                  <c:v>49.707142857142863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772-4146-8760-94F90ADCA9A9}"/>
            </c:ext>
          </c:extLst>
        </c:ser>
        <c:ser>
          <c:idx val="2"/>
          <c:order val="2"/>
          <c:tx>
            <c:v>Leverage Fit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'16.7-1,2,3'!$B$37:$B$38</c:f>
              <c:numCache>
                <c:formatCode>0.000</c:formatCode>
                <c:ptCount val="2"/>
                <c:pt idx="0">
                  <c:v>-4.0750869513862531E-2</c:v>
                </c:pt>
                <c:pt idx="1">
                  <c:v>5.1661352458140519E-2</c:v>
                </c:pt>
              </c:numCache>
            </c:numRef>
          </c:xVal>
          <c:yVal>
            <c:numRef>
              <c:f>'16.7-1,2,3'!$G$37:$G$38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772-4146-8760-94F90ADCA9A9}"/>
            </c:ext>
          </c:extLst>
        </c:ser>
        <c:ser>
          <c:idx val="3"/>
          <c:order val="3"/>
          <c:tx>
            <c:v>LCL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'16.7-1,2,3'!$B$40:$B$60</c:f>
              <c:numCache>
                <c:formatCode>0.000</c:formatCode>
                <c:ptCount val="21"/>
                <c:pt idx="0">
                  <c:v>-4.0750869513862531E-2</c:v>
                </c:pt>
                <c:pt idx="1">
                  <c:v>-3.6130258415262378E-2</c:v>
                </c:pt>
                <c:pt idx="2">
                  <c:v>-3.1509647316662226E-2</c:v>
                </c:pt>
                <c:pt idx="3">
                  <c:v>-2.6889036218062073E-2</c:v>
                </c:pt>
                <c:pt idx="4">
                  <c:v>-2.2268425119461921E-2</c:v>
                </c:pt>
                <c:pt idx="5">
                  <c:v>-1.7647814020861768E-2</c:v>
                </c:pt>
                <c:pt idx="6">
                  <c:v>-1.3027202922261616E-2</c:v>
                </c:pt>
                <c:pt idx="7">
                  <c:v>-8.4065918236614634E-3</c:v>
                </c:pt>
                <c:pt idx="8">
                  <c:v>-3.7859807250613109E-3</c:v>
                </c:pt>
                <c:pt idx="9">
                  <c:v>8.3463037353884162E-4</c:v>
                </c:pt>
                <c:pt idx="10">
                  <c:v>5.4552414721389941E-3</c:v>
                </c:pt>
                <c:pt idx="11">
                  <c:v>1.0075852570739147E-2</c:v>
                </c:pt>
                <c:pt idx="12">
                  <c:v>1.4696463669339299E-2</c:v>
                </c:pt>
                <c:pt idx="13">
                  <c:v>1.9317074767939452E-2</c:v>
                </c:pt>
                <c:pt idx="14">
                  <c:v>2.3937685866539604E-2</c:v>
                </c:pt>
                <c:pt idx="15">
                  <c:v>2.8558296965139757E-2</c:v>
                </c:pt>
                <c:pt idx="16">
                  <c:v>3.3178908063739909E-2</c:v>
                </c:pt>
                <c:pt idx="17">
                  <c:v>3.7799519162340062E-2</c:v>
                </c:pt>
                <c:pt idx="18">
                  <c:v>4.2420130260940214E-2</c:v>
                </c:pt>
                <c:pt idx="19">
                  <c:v>4.7040741359540367E-2</c:v>
                </c:pt>
                <c:pt idx="20">
                  <c:v>5.1661352458140519E-2</c:v>
                </c:pt>
              </c:numCache>
            </c:numRef>
          </c:xVal>
          <c:yVal>
            <c:numRef>
              <c:f>'16.7-1,2,3'!$B$63:$B$83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772-4146-8760-94F90ADCA9A9}"/>
            </c:ext>
          </c:extLst>
        </c:ser>
        <c:ser>
          <c:idx val="4"/>
          <c:order val="4"/>
          <c:tx>
            <c:v>UCL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'16.7-1,2,3'!$B$40:$B$60</c:f>
              <c:numCache>
                <c:formatCode>0.000</c:formatCode>
                <c:ptCount val="21"/>
                <c:pt idx="0">
                  <c:v>-4.0750869513862531E-2</c:v>
                </c:pt>
                <c:pt idx="1">
                  <c:v>-3.6130258415262378E-2</c:v>
                </c:pt>
                <c:pt idx="2">
                  <c:v>-3.1509647316662226E-2</c:v>
                </c:pt>
                <c:pt idx="3">
                  <c:v>-2.6889036218062073E-2</c:v>
                </c:pt>
                <c:pt idx="4">
                  <c:v>-2.2268425119461921E-2</c:v>
                </c:pt>
                <c:pt idx="5">
                  <c:v>-1.7647814020861768E-2</c:v>
                </c:pt>
                <c:pt idx="6">
                  <c:v>-1.3027202922261616E-2</c:v>
                </c:pt>
                <c:pt idx="7">
                  <c:v>-8.4065918236614634E-3</c:v>
                </c:pt>
                <c:pt idx="8">
                  <c:v>-3.7859807250613109E-3</c:v>
                </c:pt>
                <c:pt idx="9">
                  <c:v>8.3463037353884162E-4</c:v>
                </c:pt>
                <c:pt idx="10">
                  <c:v>5.4552414721389941E-3</c:v>
                </c:pt>
                <c:pt idx="11">
                  <c:v>1.0075852570739147E-2</c:v>
                </c:pt>
                <c:pt idx="12">
                  <c:v>1.4696463669339299E-2</c:v>
                </c:pt>
                <c:pt idx="13">
                  <c:v>1.9317074767939452E-2</c:v>
                </c:pt>
                <c:pt idx="14">
                  <c:v>2.3937685866539604E-2</c:v>
                </c:pt>
                <c:pt idx="15">
                  <c:v>2.8558296965139757E-2</c:v>
                </c:pt>
                <c:pt idx="16">
                  <c:v>3.3178908063739909E-2</c:v>
                </c:pt>
                <c:pt idx="17">
                  <c:v>3.7799519162340062E-2</c:v>
                </c:pt>
                <c:pt idx="18">
                  <c:v>4.2420130260940214E-2</c:v>
                </c:pt>
                <c:pt idx="19">
                  <c:v>4.7040741359540367E-2</c:v>
                </c:pt>
                <c:pt idx="20">
                  <c:v>5.1661352458140519E-2</c:v>
                </c:pt>
              </c:numCache>
            </c:numRef>
          </c:xVal>
          <c:yVal>
            <c:numRef>
              <c:f>'16.7-1,2,3'!$G$63:$G$83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772-4146-8760-94F90ADCA9A9}"/>
            </c:ext>
          </c:extLst>
        </c:ser>
        <c:ser>
          <c:idx val="5"/>
          <c:order val="5"/>
          <c:tx>
            <c:v>LPL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'16.7-1,2,3'!$B$40:$B$60</c:f>
              <c:numCache>
                <c:formatCode>0.000</c:formatCode>
                <c:ptCount val="21"/>
                <c:pt idx="0">
                  <c:v>-4.0750869513862531E-2</c:v>
                </c:pt>
                <c:pt idx="1">
                  <c:v>-3.6130258415262378E-2</c:v>
                </c:pt>
                <c:pt idx="2">
                  <c:v>-3.1509647316662226E-2</c:v>
                </c:pt>
                <c:pt idx="3">
                  <c:v>-2.6889036218062073E-2</c:v>
                </c:pt>
                <c:pt idx="4">
                  <c:v>-2.2268425119461921E-2</c:v>
                </c:pt>
                <c:pt idx="5">
                  <c:v>-1.7647814020861768E-2</c:v>
                </c:pt>
                <c:pt idx="6">
                  <c:v>-1.3027202922261616E-2</c:v>
                </c:pt>
                <c:pt idx="7">
                  <c:v>-8.4065918236614634E-3</c:v>
                </c:pt>
                <c:pt idx="8">
                  <c:v>-3.7859807250613109E-3</c:v>
                </c:pt>
                <c:pt idx="9">
                  <c:v>8.3463037353884162E-4</c:v>
                </c:pt>
                <c:pt idx="10">
                  <c:v>5.4552414721389941E-3</c:v>
                </c:pt>
                <c:pt idx="11">
                  <c:v>1.0075852570739147E-2</c:v>
                </c:pt>
                <c:pt idx="12">
                  <c:v>1.4696463669339299E-2</c:v>
                </c:pt>
                <c:pt idx="13">
                  <c:v>1.9317074767939452E-2</c:v>
                </c:pt>
                <c:pt idx="14">
                  <c:v>2.3937685866539604E-2</c:v>
                </c:pt>
                <c:pt idx="15">
                  <c:v>2.8558296965139757E-2</c:v>
                </c:pt>
                <c:pt idx="16">
                  <c:v>3.3178908063739909E-2</c:v>
                </c:pt>
                <c:pt idx="17">
                  <c:v>3.7799519162340062E-2</c:v>
                </c:pt>
                <c:pt idx="18">
                  <c:v>4.2420130260940214E-2</c:v>
                </c:pt>
                <c:pt idx="19">
                  <c:v>4.7040741359540367E-2</c:v>
                </c:pt>
                <c:pt idx="20">
                  <c:v>5.1661352458140519E-2</c:v>
                </c:pt>
              </c:numCache>
            </c:numRef>
          </c:xVal>
          <c:yVal>
            <c:numRef>
              <c:f>'16.7-1,2,3'!$L$63:$L$83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72-4146-8760-94F90ADCA9A9}"/>
            </c:ext>
          </c:extLst>
        </c:ser>
        <c:ser>
          <c:idx val="6"/>
          <c:order val="6"/>
          <c:tx>
            <c:v>UPL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'16.7-1,2,3'!$B$40:$B$60</c:f>
              <c:numCache>
                <c:formatCode>0.000</c:formatCode>
                <c:ptCount val="21"/>
                <c:pt idx="0">
                  <c:v>-4.0750869513862531E-2</c:v>
                </c:pt>
                <c:pt idx="1">
                  <c:v>-3.6130258415262378E-2</c:v>
                </c:pt>
                <c:pt idx="2">
                  <c:v>-3.1509647316662226E-2</c:v>
                </c:pt>
                <c:pt idx="3">
                  <c:v>-2.6889036218062073E-2</c:v>
                </c:pt>
                <c:pt idx="4">
                  <c:v>-2.2268425119461921E-2</c:v>
                </c:pt>
                <c:pt idx="5">
                  <c:v>-1.7647814020861768E-2</c:v>
                </c:pt>
                <c:pt idx="6">
                  <c:v>-1.3027202922261616E-2</c:v>
                </c:pt>
                <c:pt idx="7">
                  <c:v>-8.4065918236614634E-3</c:v>
                </c:pt>
                <c:pt idx="8">
                  <c:v>-3.7859807250613109E-3</c:v>
                </c:pt>
                <c:pt idx="9">
                  <c:v>8.3463037353884162E-4</c:v>
                </c:pt>
                <c:pt idx="10">
                  <c:v>5.4552414721389941E-3</c:v>
                </c:pt>
                <c:pt idx="11">
                  <c:v>1.0075852570739147E-2</c:v>
                </c:pt>
                <c:pt idx="12">
                  <c:v>1.4696463669339299E-2</c:v>
                </c:pt>
                <c:pt idx="13">
                  <c:v>1.9317074767939452E-2</c:v>
                </c:pt>
                <c:pt idx="14">
                  <c:v>2.3937685866539604E-2</c:v>
                </c:pt>
                <c:pt idx="15">
                  <c:v>2.8558296965139757E-2</c:v>
                </c:pt>
                <c:pt idx="16">
                  <c:v>3.3178908063739909E-2</c:v>
                </c:pt>
                <c:pt idx="17">
                  <c:v>3.7799519162340062E-2</c:v>
                </c:pt>
                <c:pt idx="18">
                  <c:v>4.2420130260940214E-2</c:v>
                </c:pt>
                <c:pt idx="19">
                  <c:v>4.7040741359540367E-2</c:v>
                </c:pt>
                <c:pt idx="20">
                  <c:v>5.1661352458140519E-2</c:v>
                </c:pt>
              </c:numCache>
            </c:numRef>
          </c:xVal>
          <c:yVal>
            <c:numRef>
              <c:f>'16.7-1,2,3'!$Q$63:$Q$83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772-4146-8760-94F90ADCA9A9}"/>
            </c:ext>
          </c:extLst>
        </c:ser>
        <c:ser>
          <c:idx val="7"/>
          <c:order val="7"/>
          <c:tx>
            <c:v>V 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'[7]Fig 16.7-4'!$S$25:$S$26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'[7]Fig 16.7-4'!$T$25:$T$26</c:f>
              <c:numCache>
                <c:formatCode>General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772-4146-8760-94F90ADCA9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6226911"/>
        <c:axId val="1836212991"/>
      </c:scatterChart>
      <c:valAx>
        <c:axId val="1836226911"/>
        <c:scaling>
          <c:orientation val="minMax"/>
          <c:max val="0.06"/>
          <c:min val="-0.0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12991"/>
        <c:crosses val="autoZero"/>
        <c:crossBetween val="midCat"/>
        <c:majorUnit val="0.02"/>
      </c:valAx>
      <c:valAx>
        <c:axId val="1836212991"/>
        <c:scaling>
          <c:orientation val="minMax"/>
          <c:max val="70"/>
          <c:min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26911"/>
        <c:crossesAt val="-0.06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2. Oxygen, </a:t>
            </a:r>
            <a:r>
              <a:rPr lang="en-US" i="1"/>
              <a:t>p</a:t>
            </a:r>
            <a:r>
              <a:rPr lang="en-US"/>
              <a:t> = 0.3341</a:t>
            </a:r>
          </a:p>
        </c:rich>
      </c:tx>
      <c:overlay val="0"/>
      <c:spPr>
        <a:solidFill>
          <a:schemeClr val="bg1">
            <a:alpha val="9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0520924467774864E-2"/>
          <c:y val="2.5428331875182269E-2"/>
          <c:w val="0.88533573928258968"/>
          <c:h val="0.89032042869641292"/>
        </c:manualLayout>
      </c:layout>
      <c:scatterChart>
        <c:scatterStyle val="lineMarker"/>
        <c:varyColors val="0"/>
        <c:ser>
          <c:idx val="0"/>
          <c:order val="0"/>
          <c:tx>
            <c:v>Leverage Points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'16.7-1,2,3'!$AF$3:$AF$30</c:f>
              <c:numCache>
                <c:formatCode>0.000</c:formatCode>
                <c:ptCount val="28"/>
                <c:pt idx="0">
                  <c:v>2.3669231987208494E-2</c:v>
                </c:pt>
                <c:pt idx="1">
                  <c:v>0.17056749802962679</c:v>
                </c:pt>
                <c:pt idx="2">
                  <c:v>0.75752884656627317</c:v>
                </c:pt>
                <c:pt idx="3">
                  <c:v>0.95484538751176173</c:v>
                </c:pt>
                <c:pt idx="4">
                  <c:v>-0.21147836221145211</c:v>
                </c:pt>
                <c:pt idx="5">
                  <c:v>-0.36039602518050828</c:v>
                </c:pt>
                <c:pt idx="6">
                  <c:v>-0.58437621348578395</c:v>
                </c:pt>
                <c:pt idx="7">
                  <c:v>-0.36039602518050828</c:v>
                </c:pt>
                <c:pt idx="8">
                  <c:v>-0.47120636760151191</c:v>
                </c:pt>
                <c:pt idx="9">
                  <c:v>-1.8268352509815511E-2</c:v>
                </c:pt>
                <c:pt idx="10">
                  <c:v>9.951038207293772E-2</c:v>
                </c:pt>
                <c:pt idx="11">
                  <c:v>0.11073210862457314</c:v>
                </c:pt>
                <c:pt idx="12">
                  <c:v>0.11073210862457314</c:v>
                </c:pt>
                <c:pt idx="13">
                  <c:v>0.11073210862457314</c:v>
                </c:pt>
                <c:pt idx="14">
                  <c:v>-0.11489362974850292</c:v>
                </c:pt>
                <c:pt idx="15">
                  <c:v>-0.11489362974850292</c:v>
                </c:pt>
                <c:pt idx="16">
                  <c:v>-0.11489362974850292</c:v>
                </c:pt>
                <c:pt idx="17">
                  <c:v>0.28034000097978162</c:v>
                </c:pt>
                <c:pt idx="18">
                  <c:v>0.11838289095541155</c:v>
                </c:pt>
                <c:pt idx="19">
                  <c:v>-0.82566030763856657</c:v>
                </c:pt>
                <c:pt idx="20">
                  <c:v>0.13513120342452778</c:v>
                </c:pt>
                <c:pt idx="21">
                  <c:v>0.3042907756459825</c:v>
                </c:pt>
                <c:pt idx="22">
                  <c:v>0.86595757076683499</c:v>
                </c:pt>
                <c:pt idx="23">
                  <c:v>-0.22851461472126458</c:v>
                </c:pt>
                <c:pt idx="24">
                  <c:v>-0.20845780714130008</c:v>
                </c:pt>
                <c:pt idx="25">
                  <c:v>-0.11026367087828451</c:v>
                </c:pt>
                <c:pt idx="26">
                  <c:v>-0.11026367087828451</c:v>
                </c:pt>
                <c:pt idx="27">
                  <c:v>-0.20845780714130008</c:v>
                </c:pt>
              </c:numCache>
            </c:numRef>
          </c:xVal>
          <c:yVal>
            <c:numRef>
              <c:f>'16.7-1,2,3'!$AK$3:$AK$30</c:f>
              <c:numCache>
                <c:formatCode>0.0</c:formatCode>
                <c:ptCount val="28"/>
                <c:pt idx="0">
                  <c:v>49.471655139100896</c:v>
                </c:pt>
                <c:pt idx="1">
                  <c:v>57.035161113822689</c:v>
                </c:pt>
                <c:pt idx="2">
                  <c:v>47.83337502265293</c:v>
                </c:pt>
                <c:pt idx="3">
                  <c:v>47.717981435564958</c:v>
                </c:pt>
                <c:pt idx="4">
                  <c:v>47.494807675963834</c:v>
                </c:pt>
                <c:pt idx="5">
                  <c:v>48.300979523320578</c:v>
                </c:pt>
                <c:pt idx="6">
                  <c:v>46.584889817820958</c:v>
                </c:pt>
                <c:pt idx="7">
                  <c:v>47.400979523320579</c:v>
                </c:pt>
                <c:pt idx="8">
                  <c:v>47.60756796430735</c:v>
                </c:pt>
                <c:pt idx="9">
                  <c:v>51.188810004275197</c:v>
                </c:pt>
                <c:pt idx="10">
                  <c:v>56.142364208416225</c:v>
                </c:pt>
                <c:pt idx="11">
                  <c:v>50.199839838070588</c:v>
                </c:pt>
                <c:pt idx="12">
                  <c:v>51.299839838070596</c:v>
                </c:pt>
                <c:pt idx="13">
                  <c:v>52.399839838070591</c:v>
                </c:pt>
                <c:pt idx="14">
                  <c:v>50.666084687171377</c:v>
                </c:pt>
                <c:pt idx="15">
                  <c:v>50.666084687171377</c:v>
                </c:pt>
                <c:pt idx="16">
                  <c:v>51.666084687171377</c:v>
                </c:pt>
                <c:pt idx="17">
                  <c:v>51.747881118838734</c:v>
                </c:pt>
                <c:pt idx="18">
                  <c:v>39.751364871799119</c:v>
                </c:pt>
                <c:pt idx="19">
                  <c:v>56.172289304814548</c:v>
                </c:pt>
                <c:pt idx="20">
                  <c:v>42.719768685825393</c:v>
                </c:pt>
                <c:pt idx="21">
                  <c:v>49.489493871539992</c:v>
                </c:pt>
                <c:pt idx="22">
                  <c:v>64.88247864136062</c:v>
                </c:pt>
                <c:pt idx="23">
                  <c:v>53.344273021349004</c:v>
                </c:pt>
                <c:pt idx="24">
                  <c:v>49.192496995214505</c:v>
                </c:pt>
                <c:pt idx="25">
                  <c:v>45.815555744875873</c:v>
                </c:pt>
                <c:pt idx="26">
                  <c:v>41.315555744875873</c:v>
                </c:pt>
                <c:pt idx="27">
                  <c:v>43.692496995214505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B1C-4A00-B8AE-761BF7AA1001}"/>
            </c:ext>
          </c:extLst>
        </c:ser>
        <c:ser>
          <c:idx val="1"/>
          <c:order val="1"/>
          <c:tx>
            <c:v>Mean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'16.7-1,2,3'!$C$37:$C$38</c:f>
              <c:numCache>
                <c:formatCode>0.000</c:formatCode>
                <c:ptCount val="2"/>
                <c:pt idx="0">
                  <c:v>-0.82566030763856657</c:v>
                </c:pt>
                <c:pt idx="1">
                  <c:v>0.95484538751176173</c:v>
                </c:pt>
              </c:numCache>
            </c:numRef>
          </c:xVal>
          <c:yVal>
            <c:numRef>
              <c:f>('16.7-1,2,3'!$B$31,'16.7-1,2,3'!$B$31)</c:f>
              <c:numCache>
                <c:formatCode>General</c:formatCode>
                <c:ptCount val="2"/>
                <c:pt idx="0">
                  <c:v>49.707142857142863</c:v>
                </c:pt>
                <c:pt idx="1">
                  <c:v>49.707142857142863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B1C-4A00-B8AE-761BF7AA1001}"/>
            </c:ext>
          </c:extLst>
        </c:ser>
        <c:ser>
          <c:idx val="2"/>
          <c:order val="2"/>
          <c:tx>
            <c:v>Leverage Fit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'16.7-1,2,3'!$C$37:$C$38</c:f>
              <c:numCache>
                <c:formatCode>0.000</c:formatCode>
                <c:ptCount val="2"/>
                <c:pt idx="0">
                  <c:v>-0.82566030763856657</c:v>
                </c:pt>
                <c:pt idx="1">
                  <c:v>0.95484538751176173</c:v>
                </c:pt>
              </c:numCache>
            </c:numRef>
          </c:xVal>
          <c:yVal>
            <c:numRef>
              <c:f>'16.7-1,2,3'!$H$37:$H$38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B1C-4A00-B8AE-761BF7AA1001}"/>
            </c:ext>
          </c:extLst>
        </c:ser>
        <c:ser>
          <c:idx val="3"/>
          <c:order val="3"/>
          <c:tx>
            <c:v>LCL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'16.7-1,2,3'!$C$40:$C$60</c:f>
              <c:numCache>
                <c:formatCode>0.000</c:formatCode>
                <c:ptCount val="21"/>
                <c:pt idx="0">
                  <c:v>-0.82566030763856657</c:v>
                </c:pt>
                <c:pt idx="1">
                  <c:v>-0.73663502288105021</c:v>
                </c:pt>
                <c:pt idx="2">
                  <c:v>-0.64760973812353384</c:v>
                </c:pt>
                <c:pt idx="3">
                  <c:v>-0.55858445336601747</c:v>
                </c:pt>
                <c:pt idx="4">
                  <c:v>-0.46955916860850105</c:v>
                </c:pt>
                <c:pt idx="5">
                  <c:v>-0.38053388385098463</c:v>
                </c:pt>
                <c:pt idx="6">
                  <c:v>-0.29150859909346821</c:v>
                </c:pt>
                <c:pt idx="7">
                  <c:v>-0.20248331433595179</c:v>
                </c:pt>
                <c:pt idx="8">
                  <c:v>-0.11345802957843538</c:v>
                </c:pt>
                <c:pt idx="9">
                  <c:v>-2.4432744820918978E-2</c:v>
                </c:pt>
                <c:pt idx="10">
                  <c:v>6.4592539936597429E-2</c:v>
                </c:pt>
                <c:pt idx="11">
                  <c:v>0.15361782469411384</c:v>
                </c:pt>
                <c:pt idx="12">
                  <c:v>0.24264310945163026</c:v>
                </c:pt>
                <c:pt idx="13">
                  <c:v>0.33166839420914668</c:v>
                </c:pt>
                <c:pt idx="14">
                  <c:v>0.4206936789666631</c:v>
                </c:pt>
                <c:pt idx="15">
                  <c:v>0.50971896372417946</c:v>
                </c:pt>
                <c:pt idx="16">
                  <c:v>0.59874424848169583</c:v>
                </c:pt>
                <c:pt idx="17">
                  <c:v>0.68776953323921219</c:v>
                </c:pt>
                <c:pt idx="18">
                  <c:v>0.77679481799672856</c:v>
                </c:pt>
                <c:pt idx="19">
                  <c:v>0.86582010275424492</c:v>
                </c:pt>
                <c:pt idx="20">
                  <c:v>0.95484538751176129</c:v>
                </c:pt>
              </c:numCache>
            </c:numRef>
          </c:xVal>
          <c:yVal>
            <c:numRef>
              <c:f>'16.7-1,2,3'!$C$63:$C$83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1C-4A00-B8AE-761BF7AA1001}"/>
            </c:ext>
          </c:extLst>
        </c:ser>
        <c:ser>
          <c:idx val="4"/>
          <c:order val="4"/>
          <c:tx>
            <c:v>UCL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'16.7-1,2,3'!$C$40:$C$60</c:f>
              <c:numCache>
                <c:formatCode>0.000</c:formatCode>
                <c:ptCount val="21"/>
                <c:pt idx="0">
                  <c:v>-0.82566030763856657</c:v>
                </c:pt>
                <c:pt idx="1">
                  <c:v>-0.73663502288105021</c:v>
                </c:pt>
                <c:pt idx="2">
                  <c:v>-0.64760973812353384</c:v>
                </c:pt>
                <c:pt idx="3">
                  <c:v>-0.55858445336601747</c:v>
                </c:pt>
                <c:pt idx="4">
                  <c:v>-0.46955916860850105</c:v>
                </c:pt>
                <c:pt idx="5">
                  <c:v>-0.38053388385098463</c:v>
                </c:pt>
                <c:pt idx="6">
                  <c:v>-0.29150859909346821</c:v>
                </c:pt>
                <c:pt idx="7">
                  <c:v>-0.20248331433595179</c:v>
                </c:pt>
                <c:pt idx="8">
                  <c:v>-0.11345802957843538</c:v>
                </c:pt>
                <c:pt idx="9">
                  <c:v>-2.4432744820918978E-2</c:v>
                </c:pt>
                <c:pt idx="10">
                  <c:v>6.4592539936597429E-2</c:v>
                </c:pt>
                <c:pt idx="11">
                  <c:v>0.15361782469411384</c:v>
                </c:pt>
                <c:pt idx="12">
                  <c:v>0.24264310945163026</c:v>
                </c:pt>
                <c:pt idx="13">
                  <c:v>0.33166839420914668</c:v>
                </c:pt>
                <c:pt idx="14">
                  <c:v>0.4206936789666631</c:v>
                </c:pt>
                <c:pt idx="15">
                  <c:v>0.50971896372417946</c:v>
                </c:pt>
                <c:pt idx="16">
                  <c:v>0.59874424848169583</c:v>
                </c:pt>
                <c:pt idx="17">
                  <c:v>0.68776953323921219</c:v>
                </c:pt>
                <c:pt idx="18">
                  <c:v>0.77679481799672856</c:v>
                </c:pt>
                <c:pt idx="19">
                  <c:v>0.86582010275424492</c:v>
                </c:pt>
                <c:pt idx="20">
                  <c:v>0.95484538751176129</c:v>
                </c:pt>
              </c:numCache>
            </c:numRef>
          </c:xVal>
          <c:yVal>
            <c:numRef>
              <c:f>'16.7-1,2,3'!$H$63:$H$83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B1C-4A00-B8AE-761BF7AA1001}"/>
            </c:ext>
          </c:extLst>
        </c:ser>
        <c:ser>
          <c:idx val="5"/>
          <c:order val="5"/>
          <c:tx>
            <c:v>LPL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'16.7-1,2,3'!$C$40:$C$60</c:f>
              <c:numCache>
                <c:formatCode>0.000</c:formatCode>
                <c:ptCount val="21"/>
                <c:pt idx="0">
                  <c:v>-0.82566030763856657</c:v>
                </c:pt>
                <c:pt idx="1">
                  <c:v>-0.73663502288105021</c:v>
                </c:pt>
                <c:pt idx="2">
                  <c:v>-0.64760973812353384</c:v>
                </c:pt>
                <c:pt idx="3">
                  <c:v>-0.55858445336601747</c:v>
                </c:pt>
                <c:pt idx="4">
                  <c:v>-0.46955916860850105</c:v>
                </c:pt>
                <c:pt idx="5">
                  <c:v>-0.38053388385098463</c:v>
                </c:pt>
                <c:pt idx="6">
                  <c:v>-0.29150859909346821</c:v>
                </c:pt>
                <c:pt idx="7">
                  <c:v>-0.20248331433595179</c:v>
                </c:pt>
                <c:pt idx="8">
                  <c:v>-0.11345802957843538</c:v>
                </c:pt>
                <c:pt idx="9">
                  <c:v>-2.4432744820918978E-2</c:v>
                </c:pt>
                <c:pt idx="10">
                  <c:v>6.4592539936597429E-2</c:v>
                </c:pt>
                <c:pt idx="11">
                  <c:v>0.15361782469411384</c:v>
                </c:pt>
                <c:pt idx="12">
                  <c:v>0.24264310945163026</c:v>
                </c:pt>
                <c:pt idx="13">
                  <c:v>0.33166839420914668</c:v>
                </c:pt>
                <c:pt idx="14">
                  <c:v>0.4206936789666631</c:v>
                </c:pt>
                <c:pt idx="15">
                  <c:v>0.50971896372417946</c:v>
                </c:pt>
                <c:pt idx="16">
                  <c:v>0.59874424848169583</c:v>
                </c:pt>
                <c:pt idx="17">
                  <c:v>0.68776953323921219</c:v>
                </c:pt>
                <c:pt idx="18">
                  <c:v>0.77679481799672856</c:v>
                </c:pt>
                <c:pt idx="19">
                  <c:v>0.86582010275424492</c:v>
                </c:pt>
                <c:pt idx="20">
                  <c:v>0.95484538751176129</c:v>
                </c:pt>
              </c:numCache>
            </c:numRef>
          </c:xVal>
          <c:yVal>
            <c:numRef>
              <c:f>'16.7-1,2,3'!$M$63:$M$83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B1C-4A00-B8AE-761BF7AA1001}"/>
            </c:ext>
          </c:extLst>
        </c:ser>
        <c:ser>
          <c:idx val="6"/>
          <c:order val="6"/>
          <c:tx>
            <c:v>UPL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'16.7-1,2,3'!$C$40:$C$60</c:f>
              <c:numCache>
                <c:formatCode>0.000</c:formatCode>
                <c:ptCount val="21"/>
                <c:pt idx="0">
                  <c:v>-0.82566030763856657</c:v>
                </c:pt>
                <c:pt idx="1">
                  <c:v>-0.73663502288105021</c:v>
                </c:pt>
                <c:pt idx="2">
                  <c:v>-0.64760973812353384</c:v>
                </c:pt>
                <c:pt idx="3">
                  <c:v>-0.55858445336601747</c:v>
                </c:pt>
                <c:pt idx="4">
                  <c:v>-0.46955916860850105</c:v>
                </c:pt>
                <c:pt idx="5">
                  <c:v>-0.38053388385098463</c:v>
                </c:pt>
                <c:pt idx="6">
                  <c:v>-0.29150859909346821</c:v>
                </c:pt>
                <c:pt idx="7">
                  <c:v>-0.20248331433595179</c:v>
                </c:pt>
                <c:pt idx="8">
                  <c:v>-0.11345802957843538</c:v>
                </c:pt>
                <c:pt idx="9">
                  <c:v>-2.4432744820918978E-2</c:v>
                </c:pt>
                <c:pt idx="10">
                  <c:v>6.4592539936597429E-2</c:v>
                </c:pt>
                <c:pt idx="11">
                  <c:v>0.15361782469411384</c:v>
                </c:pt>
                <c:pt idx="12">
                  <c:v>0.24264310945163026</c:v>
                </c:pt>
                <c:pt idx="13">
                  <c:v>0.33166839420914668</c:v>
                </c:pt>
                <c:pt idx="14">
                  <c:v>0.4206936789666631</c:v>
                </c:pt>
                <c:pt idx="15">
                  <c:v>0.50971896372417946</c:v>
                </c:pt>
                <c:pt idx="16">
                  <c:v>0.59874424848169583</c:v>
                </c:pt>
                <c:pt idx="17">
                  <c:v>0.68776953323921219</c:v>
                </c:pt>
                <c:pt idx="18">
                  <c:v>0.77679481799672856</c:v>
                </c:pt>
                <c:pt idx="19">
                  <c:v>0.86582010275424492</c:v>
                </c:pt>
                <c:pt idx="20">
                  <c:v>0.95484538751176129</c:v>
                </c:pt>
              </c:numCache>
            </c:numRef>
          </c:xVal>
          <c:yVal>
            <c:numRef>
              <c:f>'16.7-1,2,3'!$R$63:$R$83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1C-4A00-B8AE-761BF7AA1001}"/>
            </c:ext>
          </c:extLst>
        </c:ser>
        <c:ser>
          <c:idx val="7"/>
          <c:order val="7"/>
          <c:tx>
            <c:v>V 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'[7]Fig 16.7-4'!$S$25:$S$26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'[7]Fig 16.7-4'!$T$25:$T$26</c:f>
              <c:numCache>
                <c:formatCode>General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B1C-4A00-B8AE-761BF7AA10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6226911"/>
        <c:axId val="1836212991"/>
      </c:scatterChart>
      <c:valAx>
        <c:axId val="1836226911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12991"/>
        <c:crosses val="autoZero"/>
        <c:crossBetween val="midCat"/>
      </c:valAx>
      <c:valAx>
        <c:axId val="1836212991"/>
        <c:scaling>
          <c:orientation val="minMax"/>
          <c:max val="70"/>
          <c:min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26911"/>
        <c:crossesAt val="-1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3. FGR, </a:t>
            </a:r>
            <a:r>
              <a:rPr lang="en-US" i="1"/>
              <a:t>p</a:t>
            </a:r>
            <a:r>
              <a:rPr lang="en-US"/>
              <a:t> &lt; 0.0001</a:t>
            </a:r>
          </a:p>
        </c:rich>
      </c:tx>
      <c:overlay val="0"/>
      <c:spPr>
        <a:solidFill>
          <a:schemeClr val="bg1">
            <a:alpha val="9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0520924467774864E-2"/>
          <c:y val="2.5428331875182269E-2"/>
          <c:w val="0.88533573928258968"/>
          <c:h val="0.89032042869641292"/>
        </c:manualLayout>
      </c:layout>
      <c:scatterChart>
        <c:scatterStyle val="lineMarker"/>
        <c:varyColors val="0"/>
        <c:ser>
          <c:idx val="0"/>
          <c:order val="0"/>
          <c:tx>
            <c:v>Leverage Points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'16.7-1,2,3'!$AG$3:$AG$30</c:f>
              <c:numCache>
                <c:formatCode>0.000</c:formatCode>
                <c:ptCount val="28"/>
                <c:pt idx="0">
                  <c:v>-0.32685373319138067</c:v>
                </c:pt>
                <c:pt idx="1">
                  <c:v>-0.21377383572683395</c:v>
                </c:pt>
                <c:pt idx="2">
                  <c:v>0.23471828380942267</c:v>
                </c:pt>
                <c:pt idx="3">
                  <c:v>0.44352216571244241</c:v>
                </c:pt>
                <c:pt idx="4">
                  <c:v>-0.11504827777912285</c:v>
                </c:pt>
                <c:pt idx="5">
                  <c:v>-8.413738142793048E-2</c:v>
                </c:pt>
                <c:pt idx="6">
                  <c:v>-0.22021980523175866</c:v>
                </c:pt>
                <c:pt idx="7">
                  <c:v>-8.413738142793048E-2</c:v>
                </c:pt>
                <c:pt idx="8">
                  <c:v>-0.12721980523175858</c:v>
                </c:pt>
                <c:pt idx="9">
                  <c:v>0.15136957572732113</c:v>
                </c:pt>
                <c:pt idx="10">
                  <c:v>0.34178019476824129</c:v>
                </c:pt>
                <c:pt idx="11">
                  <c:v>0.11170876557182441</c:v>
                </c:pt>
                <c:pt idx="12">
                  <c:v>0.11170876557182441</c:v>
                </c:pt>
                <c:pt idx="13">
                  <c:v>0.11170876557182441</c:v>
                </c:pt>
                <c:pt idx="14">
                  <c:v>-1.8004399744316002E-2</c:v>
                </c:pt>
                <c:pt idx="15">
                  <c:v>-1.8004399744316002E-2</c:v>
                </c:pt>
                <c:pt idx="16">
                  <c:v>-1.8004399744316002E-2</c:v>
                </c:pt>
                <c:pt idx="17">
                  <c:v>0.21437852669853696</c:v>
                </c:pt>
                <c:pt idx="18">
                  <c:v>-5.8396018642939834E-2</c:v>
                </c:pt>
                <c:pt idx="19">
                  <c:v>-0.85087573863370436</c:v>
                </c:pt>
                <c:pt idx="20">
                  <c:v>0.11114278871278915</c:v>
                </c:pt>
                <c:pt idx="21">
                  <c:v>0.30263734437758094</c:v>
                </c:pt>
                <c:pt idx="22">
                  <c:v>0.57024937815485943</c:v>
                </c:pt>
                <c:pt idx="23">
                  <c:v>-0.14238657493931117</c:v>
                </c:pt>
                <c:pt idx="24">
                  <c:v>-0.13234593646927406</c:v>
                </c:pt>
                <c:pt idx="25">
                  <c:v>-8.1585465136245761E-2</c:v>
                </c:pt>
                <c:pt idx="26">
                  <c:v>-8.1585465136245761E-2</c:v>
                </c:pt>
                <c:pt idx="27">
                  <c:v>-0.13234593646927406</c:v>
                </c:pt>
              </c:numCache>
            </c:numRef>
          </c:xVal>
          <c:yVal>
            <c:numRef>
              <c:f>'16.7-1,2,3'!$AL$3:$AL$30</c:f>
              <c:numCache>
                <c:formatCode>0.0</c:formatCode>
                <c:ptCount val="28"/>
                <c:pt idx="0">
                  <c:v>58.275220469266365</c:v>
                </c:pt>
                <c:pt idx="1">
                  <c:v>62.381964264418379</c:v>
                </c:pt>
                <c:pt idx="2">
                  <c:v>39.458628436538625</c:v>
                </c:pt>
                <c:pt idx="3">
                  <c:v>33.15621818236815</c:v>
                </c:pt>
                <c:pt idx="4">
                  <c:v>51.176125779893248</c:v>
                </c:pt>
                <c:pt idx="5">
                  <c:v>51.538489832826329</c:v>
                </c:pt>
                <c:pt idx="6">
                  <c:v>54.107429031202756</c:v>
                </c:pt>
                <c:pt idx="7">
                  <c:v>50.63848983282633</c:v>
                </c:pt>
                <c:pt idx="8">
                  <c:v>52.307429031202744</c:v>
                </c:pt>
                <c:pt idx="9">
                  <c:v>47.131147536816968</c:v>
                </c:pt>
                <c:pt idx="10">
                  <c:v>46.607429031202749</c:v>
                </c:pt>
                <c:pt idx="11">
                  <c:v>46.876125007522276</c:v>
                </c:pt>
                <c:pt idx="12">
                  <c:v>47.976125007522285</c:v>
                </c:pt>
                <c:pt idx="13">
                  <c:v>49.076125007522279</c:v>
                </c:pt>
                <c:pt idx="14">
                  <c:v>51.458986342028645</c:v>
                </c:pt>
                <c:pt idx="15">
                  <c:v>51.458986342028645</c:v>
                </c:pt>
                <c:pt idx="16">
                  <c:v>52.458986342028645</c:v>
                </c:pt>
                <c:pt idx="17">
                  <c:v>45.189602529878314</c:v>
                </c:pt>
                <c:pt idx="18">
                  <c:v>41.021667905768339</c:v>
                </c:pt>
                <c:pt idx="19">
                  <c:v>81.44161589548429</c:v>
                </c:pt>
                <c:pt idx="20">
                  <c:v>39.346739982706517</c:v>
                </c:pt>
                <c:pt idx="21">
                  <c:v>40.473611066199368</c:v>
                </c:pt>
                <c:pt idx="22">
                  <c:v>47.118674263343927</c:v>
                </c:pt>
                <c:pt idx="23">
                  <c:v>57.812327463835835</c:v>
                </c:pt>
                <c:pt idx="24">
                  <c:v>53.335029141138016</c:v>
                </c:pt>
                <c:pt idx="25">
                  <c:v>48.320898566645944</c:v>
                </c:pt>
                <c:pt idx="26">
                  <c:v>43.820898566645944</c:v>
                </c:pt>
                <c:pt idx="27">
                  <c:v>47.835029141138016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840-43D8-B1DF-C62038230629}"/>
            </c:ext>
          </c:extLst>
        </c:ser>
        <c:ser>
          <c:idx val="1"/>
          <c:order val="1"/>
          <c:tx>
            <c:v>Mean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'16.7-1,2,3'!$D$37:$D$38</c:f>
              <c:numCache>
                <c:formatCode>0.000</c:formatCode>
                <c:ptCount val="2"/>
                <c:pt idx="0">
                  <c:v>-0.85087573863370436</c:v>
                </c:pt>
                <c:pt idx="1">
                  <c:v>0.57024937815485943</c:v>
                </c:pt>
              </c:numCache>
            </c:numRef>
          </c:xVal>
          <c:yVal>
            <c:numRef>
              <c:f>('16.7-1,2,3'!$B$31,'16.7-1,2,3'!$B$31)</c:f>
              <c:numCache>
                <c:formatCode>General</c:formatCode>
                <c:ptCount val="2"/>
                <c:pt idx="0">
                  <c:v>49.707142857142863</c:v>
                </c:pt>
                <c:pt idx="1">
                  <c:v>49.707142857142863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840-43D8-B1DF-C62038230629}"/>
            </c:ext>
          </c:extLst>
        </c:ser>
        <c:ser>
          <c:idx val="2"/>
          <c:order val="2"/>
          <c:tx>
            <c:v>Leverage Fit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'16.7-1,2,3'!$D$37:$D$38</c:f>
              <c:numCache>
                <c:formatCode>0.000</c:formatCode>
                <c:ptCount val="2"/>
                <c:pt idx="0">
                  <c:v>-0.85087573863370436</c:v>
                </c:pt>
                <c:pt idx="1">
                  <c:v>0.57024937815485943</c:v>
                </c:pt>
              </c:numCache>
            </c:numRef>
          </c:xVal>
          <c:yVal>
            <c:numRef>
              <c:f>'16.7-1,2,3'!$I$37:$I$38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840-43D8-B1DF-C62038230629}"/>
            </c:ext>
          </c:extLst>
        </c:ser>
        <c:ser>
          <c:idx val="3"/>
          <c:order val="3"/>
          <c:tx>
            <c:v>LCL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'16.7-1,2,3'!$D$40:$D$60</c:f>
              <c:numCache>
                <c:formatCode>0.000</c:formatCode>
                <c:ptCount val="21"/>
                <c:pt idx="0">
                  <c:v>-0.85087573863370436</c:v>
                </c:pt>
                <c:pt idx="1">
                  <c:v>-0.77981948279427615</c:v>
                </c:pt>
                <c:pt idx="2">
                  <c:v>-0.70876322695484795</c:v>
                </c:pt>
                <c:pt idx="3">
                  <c:v>-0.63770697111541974</c:v>
                </c:pt>
                <c:pt idx="4">
                  <c:v>-0.56665071527599153</c:v>
                </c:pt>
                <c:pt idx="5">
                  <c:v>-0.49559445943656333</c:v>
                </c:pt>
                <c:pt idx="6">
                  <c:v>-0.42453820359713512</c:v>
                </c:pt>
                <c:pt idx="7">
                  <c:v>-0.35348194775770692</c:v>
                </c:pt>
                <c:pt idx="8">
                  <c:v>-0.28242569191827871</c:v>
                </c:pt>
                <c:pt idx="9">
                  <c:v>-0.21136943607885053</c:v>
                </c:pt>
                <c:pt idx="10">
                  <c:v>-0.14031318023942235</c:v>
                </c:pt>
                <c:pt idx="11">
                  <c:v>-6.9256924399994174E-2</c:v>
                </c:pt>
                <c:pt idx="12">
                  <c:v>1.7993314394340043E-3</c:v>
                </c:pt>
                <c:pt idx="13">
                  <c:v>7.2855587278862183E-2</c:v>
                </c:pt>
                <c:pt idx="14">
                  <c:v>0.14391184311829036</c:v>
                </c:pt>
                <c:pt idx="15">
                  <c:v>0.21496809895771854</c:v>
                </c:pt>
                <c:pt idx="16">
                  <c:v>0.28602435479714672</c:v>
                </c:pt>
                <c:pt idx="17">
                  <c:v>0.35708061063657492</c:v>
                </c:pt>
                <c:pt idx="18">
                  <c:v>0.42813686647600313</c:v>
                </c:pt>
                <c:pt idx="19">
                  <c:v>0.49919312231543134</c:v>
                </c:pt>
                <c:pt idx="20">
                  <c:v>0.57024937815485954</c:v>
                </c:pt>
              </c:numCache>
            </c:numRef>
          </c:xVal>
          <c:yVal>
            <c:numRef>
              <c:f>'16.7-1,2,3'!$D$63:$D$83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0-43D8-B1DF-C62038230629}"/>
            </c:ext>
          </c:extLst>
        </c:ser>
        <c:ser>
          <c:idx val="4"/>
          <c:order val="4"/>
          <c:tx>
            <c:v>UCL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'16.7-1,2,3'!$D$40:$D$60</c:f>
              <c:numCache>
                <c:formatCode>0.000</c:formatCode>
                <c:ptCount val="21"/>
                <c:pt idx="0">
                  <c:v>-0.85087573863370436</c:v>
                </c:pt>
                <c:pt idx="1">
                  <c:v>-0.77981948279427615</c:v>
                </c:pt>
                <c:pt idx="2">
                  <c:v>-0.70876322695484795</c:v>
                </c:pt>
                <c:pt idx="3">
                  <c:v>-0.63770697111541974</c:v>
                </c:pt>
                <c:pt idx="4">
                  <c:v>-0.56665071527599153</c:v>
                </c:pt>
                <c:pt idx="5">
                  <c:v>-0.49559445943656333</c:v>
                </c:pt>
                <c:pt idx="6">
                  <c:v>-0.42453820359713512</c:v>
                </c:pt>
                <c:pt idx="7">
                  <c:v>-0.35348194775770692</c:v>
                </c:pt>
                <c:pt idx="8">
                  <c:v>-0.28242569191827871</c:v>
                </c:pt>
                <c:pt idx="9">
                  <c:v>-0.21136943607885053</c:v>
                </c:pt>
                <c:pt idx="10">
                  <c:v>-0.14031318023942235</c:v>
                </c:pt>
                <c:pt idx="11">
                  <c:v>-6.9256924399994174E-2</c:v>
                </c:pt>
                <c:pt idx="12">
                  <c:v>1.7993314394340043E-3</c:v>
                </c:pt>
                <c:pt idx="13">
                  <c:v>7.2855587278862183E-2</c:v>
                </c:pt>
                <c:pt idx="14">
                  <c:v>0.14391184311829036</c:v>
                </c:pt>
                <c:pt idx="15">
                  <c:v>0.21496809895771854</c:v>
                </c:pt>
                <c:pt idx="16">
                  <c:v>0.28602435479714672</c:v>
                </c:pt>
                <c:pt idx="17">
                  <c:v>0.35708061063657492</c:v>
                </c:pt>
                <c:pt idx="18">
                  <c:v>0.42813686647600313</c:v>
                </c:pt>
                <c:pt idx="19">
                  <c:v>0.49919312231543134</c:v>
                </c:pt>
                <c:pt idx="20">
                  <c:v>0.57024937815485954</c:v>
                </c:pt>
              </c:numCache>
            </c:numRef>
          </c:xVal>
          <c:yVal>
            <c:numRef>
              <c:f>'16.7-1,2,3'!$I$63:$I$83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0-43D8-B1DF-C62038230629}"/>
            </c:ext>
          </c:extLst>
        </c:ser>
        <c:ser>
          <c:idx val="5"/>
          <c:order val="5"/>
          <c:tx>
            <c:v>LPL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'16.7-1,2,3'!$D$40:$D$60</c:f>
              <c:numCache>
                <c:formatCode>0.000</c:formatCode>
                <c:ptCount val="21"/>
                <c:pt idx="0">
                  <c:v>-0.85087573863370436</c:v>
                </c:pt>
                <c:pt idx="1">
                  <c:v>-0.77981948279427615</c:v>
                </c:pt>
                <c:pt idx="2">
                  <c:v>-0.70876322695484795</c:v>
                </c:pt>
                <c:pt idx="3">
                  <c:v>-0.63770697111541974</c:v>
                </c:pt>
                <c:pt idx="4">
                  <c:v>-0.56665071527599153</c:v>
                </c:pt>
                <c:pt idx="5">
                  <c:v>-0.49559445943656333</c:v>
                </c:pt>
                <c:pt idx="6">
                  <c:v>-0.42453820359713512</c:v>
                </c:pt>
                <c:pt idx="7">
                  <c:v>-0.35348194775770692</c:v>
                </c:pt>
                <c:pt idx="8">
                  <c:v>-0.28242569191827871</c:v>
                </c:pt>
                <c:pt idx="9">
                  <c:v>-0.21136943607885053</c:v>
                </c:pt>
                <c:pt idx="10">
                  <c:v>-0.14031318023942235</c:v>
                </c:pt>
                <c:pt idx="11">
                  <c:v>-6.9256924399994174E-2</c:v>
                </c:pt>
                <c:pt idx="12">
                  <c:v>1.7993314394340043E-3</c:v>
                </c:pt>
                <c:pt idx="13">
                  <c:v>7.2855587278862183E-2</c:v>
                </c:pt>
                <c:pt idx="14">
                  <c:v>0.14391184311829036</c:v>
                </c:pt>
                <c:pt idx="15">
                  <c:v>0.21496809895771854</c:v>
                </c:pt>
                <c:pt idx="16">
                  <c:v>0.28602435479714672</c:v>
                </c:pt>
                <c:pt idx="17">
                  <c:v>0.35708061063657492</c:v>
                </c:pt>
                <c:pt idx="18">
                  <c:v>0.42813686647600313</c:v>
                </c:pt>
                <c:pt idx="19">
                  <c:v>0.49919312231543134</c:v>
                </c:pt>
                <c:pt idx="20">
                  <c:v>0.57024937815485954</c:v>
                </c:pt>
              </c:numCache>
            </c:numRef>
          </c:xVal>
          <c:yVal>
            <c:numRef>
              <c:f>'16.7-1,2,3'!$N$63:$N$83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0-43D8-B1DF-C62038230629}"/>
            </c:ext>
          </c:extLst>
        </c:ser>
        <c:ser>
          <c:idx val="6"/>
          <c:order val="6"/>
          <c:tx>
            <c:v>UPL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'16.7-1,2,3'!$D$40:$D$60</c:f>
              <c:numCache>
                <c:formatCode>0.000</c:formatCode>
                <c:ptCount val="21"/>
                <c:pt idx="0">
                  <c:v>-0.85087573863370436</c:v>
                </c:pt>
                <c:pt idx="1">
                  <c:v>-0.77981948279427615</c:v>
                </c:pt>
                <c:pt idx="2">
                  <c:v>-0.70876322695484795</c:v>
                </c:pt>
                <c:pt idx="3">
                  <c:v>-0.63770697111541974</c:v>
                </c:pt>
                <c:pt idx="4">
                  <c:v>-0.56665071527599153</c:v>
                </c:pt>
                <c:pt idx="5">
                  <c:v>-0.49559445943656333</c:v>
                </c:pt>
                <c:pt idx="6">
                  <c:v>-0.42453820359713512</c:v>
                </c:pt>
                <c:pt idx="7">
                  <c:v>-0.35348194775770692</c:v>
                </c:pt>
                <c:pt idx="8">
                  <c:v>-0.28242569191827871</c:v>
                </c:pt>
                <c:pt idx="9">
                  <c:v>-0.21136943607885053</c:v>
                </c:pt>
                <c:pt idx="10">
                  <c:v>-0.14031318023942235</c:v>
                </c:pt>
                <c:pt idx="11">
                  <c:v>-6.9256924399994174E-2</c:v>
                </c:pt>
                <c:pt idx="12">
                  <c:v>1.7993314394340043E-3</c:v>
                </c:pt>
                <c:pt idx="13">
                  <c:v>7.2855587278862183E-2</c:v>
                </c:pt>
                <c:pt idx="14">
                  <c:v>0.14391184311829036</c:v>
                </c:pt>
                <c:pt idx="15">
                  <c:v>0.21496809895771854</c:v>
                </c:pt>
                <c:pt idx="16">
                  <c:v>0.28602435479714672</c:v>
                </c:pt>
                <c:pt idx="17">
                  <c:v>0.35708061063657492</c:v>
                </c:pt>
                <c:pt idx="18">
                  <c:v>0.42813686647600313</c:v>
                </c:pt>
                <c:pt idx="19">
                  <c:v>0.49919312231543134</c:v>
                </c:pt>
                <c:pt idx="20">
                  <c:v>0.57024937815485954</c:v>
                </c:pt>
              </c:numCache>
            </c:numRef>
          </c:xVal>
          <c:yVal>
            <c:numRef>
              <c:f>'16.7-1,2,3'!$S$63:$S$83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0-43D8-B1DF-C62038230629}"/>
            </c:ext>
          </c:extLst>
        </c:ser>
        <c:ser>
          <c:idx val="7"/>
          <c:order val="7"/>
          <c:tx>
            <c:v>V 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'[7]Fig 16.7-4'!$S$25:$S$26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'[7]Fig 16.7-4'!$T$25:$T$26</c:f>
              <c:numCache>
                <c:formatCode>General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840-43D8-B1DF-C620382306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6226911"/>
        <c:axId val="1836212991"/>
      </c:scatterChart>
      <c:valAx>
        <c:axId val="1836226911"/>
        <c:scaling>
          <c:orientation val="minMax"/>
          <c:max val="0.60000000000000009"/>
          <c:min val="-0.9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12991"/>
        <c:crosses val="autoZero"/>
        <c:crossBetween val="midCat"/>
        <c:majorUnit val="0.2"/>
      </c:valAx>
      <c:valAx>
        <c:axId val="1836212991"/>
        <c:scaling>
          <c:orientation val="minMax"/>
          <c:max val="85"/>
          <c:min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26911"/>
        <c:crossesAt val="-1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22. O2 x O2, </a:t>
            </a:r>
            <a:r>
              <a:rPr lang="en-US" i="1"/>
              <a:t>p</a:t>
            </a:r>
            <a:r>
              <a:rPr lang="en-US"/>
              <a:t> &lt; 0.0001</a:t>
            </a:r>
          </a:p>
        </c:rich>
      </c:tx>
      <c:overlay val="0"/>
      <c:spPr>
        <a:solidFill>
          <a:schemeClr val="bg1">
            <a:alpha val="9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0520924467774864E-2"/>
          <c:y val="2.5428331875182269E-2"/>
          <c:w val="0.88533573928258968"/>
          <c:h val="0.89032042869641292"/>
        </c:manualLayout>
      </c:layout>
      <c:scatterChart>
        <c:scatterStyle val="lineMarker"/>
        <c:varyColors val="0"/>
        <c:ser>
          <c:idx val="0"/>
          <c:order val="0"/>
          <c:tx>
            <c:v>Leverage Points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'16.7-1,2,3'!$AI$3:$AI$30</c:f>
              <c:numCache>
                <c:formatCode>0.000</c:formatCode>
                <c:ptCount val="28"/>
                <c:pt idx="0">
                  <c:v>-0.54401329185803649</c:v>
                </c:pt>
                <c:pt idx="1">
                  <c:v>-0.49648094460739634</c:v>
                </c:pt>
                <c:pt idx="2">
                  <c:v>-0.97982023212507841</c:v>
                </c:pt>
                <c:pt idx="3">
                  <c:v>-0.74937818187674976</c:v>
                </c:pt>
                <c:pt idx="4">
                  <c:v>-0.18879041218248271</c:v>
                </c:pt>
                <c:pt idx="5">
                  <c:v>0.35873576895667414</c:v>
                </c:pt>
                <c:pt idx="6">
                  <c:v>0.39505317533723905</c:v>
                </c:pt>
                <c:pt idx="7">
                  <c:v>0.35873576895667414</c:v>
                </c:pt>
                <c:pt idx="8">
                  <c:v>0.48423181546874994</c:v>
                </c:pt>
                <c:pt idx="9">
                  <c:v>0.42776587736755928</c:v>
                </c:pt>
                <c:pt idx="10">
                  <c:v>0.9339606565620644</c:v>
                </c:pt>
                <c:pt idx="11">
                  <c:v>-0.18546216798157111</c:v>
                </c:pt>
                <c:pt idx="12">
                  <c:v>-0.18546216798157111</c:v>
                </c:pt>
                <c:pt idx="13">
                  <c:v>-0.18546216798157111</c:v>
                </c:pt>
                <c:pt idx="14">
                  <c:v>-0.16033742808307472</c:v>
                </c:pt>
                <c:pt idx="15">
                  <c:v>-0.16033742808307472</c:v>
                </c:pt>
                <c:pt idx="16">
                  <c:v>-0.16033742808307472</c:v>
                </c:pt>
                <c:pt idx="17">
                  <c:v>-0.17697468438422836</c:v>
                </c:pt>
                <c:pt idx="18">
                  <c:v>-0.60649833641986151</c:v>
                </c:pt>
                <c:pt idx="19">
                  <c:v>-1.181009116361436</c:v>
                </c:pt>
                <c:pt idx="20">
                  <c:v>1.2368349060862656</c:v>
                </c:pt>
                <c:pt idx="21">
                  <c:v>1.7650460192677371</c:v>
                </c:pt>
                <c:pt idx="22">
                  <c:v>0.4801351987060985</c:v>
                </c:pt>
                <c:pt idx="23">
                  <c:v>-8.16376977246146E-2</c:v>
                </c:pt>
                <c:pt idx="24">
                  <c:v>-8.814894167859133E-2</c:v>
                </c:pt>
                <c:pt idx="25">
                  <c:v>-0.11109980880902415</c:v>
                </c:pt>
                <c:pt idx="26">
                  <c:v>-0.11109980880902415</c:v>
                </c:pt>
                <c:pt idx="27">
                  <c:v>-8.814894167859133E-2</c:v>
                </c:pt>
              </c:numCache>
            </c:numRef>
          </c:xVal>
          <c:yVal>
            <c:numRef>
              <c:f>'16.7-1,2,3'!$AN$3:$AN$30</c:f>
              <c:numCache>
                <c:formatCode>0.0</c:formatCode>
                <c:ptCount val="28"/>
                <c:pt idx="0">
                  <c:v>54.086108565115971</c:v>
                </c:pt>
                <c:pt idx="1">
                  <c:v>60.851617432882911</c:v>
                </c:pt>
                <c:pt idx="2">
                  <c:v>54.249703028247822</c:v>
                </c:pt>
                <c:pt idx="3">
                  <c:v>51.630108432399034</c:v>
                </c:pt>
                <c:pt idx="4">
                  <c:v>49.678440411729945</c:v>
                </c:pt>
                <c:pt idx="5">
                  <c:v>46.171911461415121</c:v>
                </c:pt>
                <c:pt idx="6">
                  <c:v>44.737211509704899</c:v>
                </c:pt>
                <c:pt idx="7">
                  <c:v>45.271911461415122</c:v>
                </c:pt>
                <c:pt idx="8">
                  <c:v>44.69322899172397</c:v>
                </c:pt>
                <c:pt idx="9">
                  <c:v>47.559486098460965</c:v>
                </c:pt>
                <c:pt idx="10">
                  <c:v>47.848844035454547</c:v>
                </c:pt>
                <c:pt idx="11">
                  <c:v>51.500880289225833</c:v>
                </c:pt>
                <c:pt idx="12">
                  <c:v>52.600880289225827</c:v>
                </c:pt>
                <c:pt idx="13">
                  <c:v>53.700880289225829</c:v>
                </c:pt>
                <c:pt idx="14">
                  <c:v>52.349105807799489</c:v>
                </c:pt>
                <c:pt idx="15">
                  <c:v>52.349105807799489</c:v>
                </c:pt>
                <c:pt idx="16">
                  <c:v>53.349105807799489</c:v>
                </c:pt>
                <c:pt idx="17">
                  <c:v>52.526425981919772</c:v>
                </c:pt>
                <c:pt idx="18">
                  <c:v>44.652010675177856</c:v>
                </c:pt>
                <c:pt idx="19">
                  <c:v>68.514390087433824</c:v>
                </c:pt>
                <c:pt idx="20">
                  <c:v>31.727861247535962</c:v>
                </c:pt>
                <c:pt idx="21">
                  <c:v>33.507925145473735</c:v>
                </c:pt>
                <c:pt idx="22">
                  <c:v>58.459379109198572</c:v>
                </c:pt>
                <c:pt idx="23">
                  <c:v>54.651806508969834</c:v>
                </c:pt>
                <c:pt idx="24">
                  <c:v>50.50285328351945</c:v>
                </c:pt>
                <c:pt idx="25">
                  <c:v>47.062982478812565</c:v>
                </c:pt>
                <c:pt idx="26">
                  <c:v>42.562982478812565</c:v>
                </c:pt>
                <c:pt idx="27">
                  <c:v>45.00285328351945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5BD-4F07-A737-B9624BB40A57}"/>
            </c:ext>
          </c:extLst>
        </c:ser>
        <c:ser>
          <c:idx val="1"/>
          <c:order val="1"/>
          <c:tx>
            <c:v>Mean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'16.7-1,2,3'!$F$37:$F$38</c:f>
              <c:numCache>
                <c:formatCode>0.000</c:formatCode>
                <c:ptCount val="2"/>
                <c:pt idx="0">
                  <c:v>-1.181009116361436</c:v>
                </c:pt>
                <c:pt idx="1">
                  <c:v>1.7650460192677371</c:v>
                </c:pt>
              </c:numCache>
            </c:numRef>
          </c:xVal>
          <c:yVal>
            <c:numRef>
              <c:f>('16.7-1,2,3'!$B$31,'16.7-1,2,3'!$B$31)</c:f>
              <c:numCache>
                <c:formatCode>General</c:formatCode>
                <c:ptCount val="2"/>
                <c:pt idx="0">
                  <c:v>49.707142857142863</c:v>
                </c:pt>
                <c:pt idx="1">
                  <c:v>49.707142857142863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5BD-4F07-A737-B9624BB40A57}"/>
            </c:ext>
          </c:extLst>
        </c:ser>
        <c:ser>
          <c:idx val="2"/>
          <c:order val="2"/>
          <c:tx>
            <c:v>Leverage Fit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'16.7-1,2,3'!$F$37:$F$38</c:f>
              <c:numCache>
                <c:formatCode>0.000</c:formatCode>
                <c:ptCount val="2"/>
                <c:pt idx="0">
                  <c:v>-1.181009116361436</c:v>
                </c:pt>
                <c:pt idx="1">
                  <c:v>1.7650460192677371</c:v>
                </c:pt>
              </c:numCache>
            </c:numRef>
          </c:xVal>
          <c:yVal>
            <c:numRef>
              <c:f>'16.7-1,2,3'!$K$37:$K$38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5BD-4F07-A737-B9624BB40A57}"/>
            </c:ext>
          </c:extLst>
        </c:ser>
        <c:ser>
          <c:idx val="3"/>
          <c:order val="3"/>
          <c:tx>
            <c:v>LCL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'16.7-1,2,3'!$F$40:$F$60</c:f>
              <c:numCache>
                <c:formatCode>0.000</c:formatCode>
                <c:ptCount val="21"/>
                <c:pt idx="0">
                  <c:v>-1.181009116361436</c:v>
                </c:pt>
                <c:pt idx="1">
                  <c:v>-1.0337063595799774</c:v>
                </c:pt>
                <c:pt idx="2">
                  <c:v>-0.88640360279851871</c:v>
                </c:pt>
                <c:pt idx="3">
                  <c:v>-0.73910084601706005</c:v>
                </c:pt>
                <c:pt idx="4">
                  <c:v>-0.5917980892356014</c:v>
                </c:pt>
                <c:pt idx="5">
                  <c:v>-0.44449533245414274</c:v>
                </c:pt>
                <c:pt idx="6">
                  <c:v>-0.29719257567268409</c:v>
                </c:pt>
                <c:pt idx="7">
                  <c:v>-0.14988981889122543</c:v>
                </c:pt>
                <c:pt idx="8">
                  <c:v>-2.5870621097667801E-3</c:v>
                </c:pt>
                <c:pt idx="9">
                  <c:v>0.14471569467169187</c:v>
                </c:pt>
                <c:pt idx="10">
                  <c:v>0.29201845145315053</c:v>
                </c:pt>
                <c:pt idx="11">
                  <c:v>0.43932120823460918</c:v>
                </c:pt>
                <c:pt idx="12">
                  <c:v>0.58662396501606784</c:v>
                </c:pt>
                <c:pt idx="13">
                  <c:v>0.73392672179752649</c:v>
                </c:pt>
                <c:pt idx="14">
                  <c:v>0.88122947857898515</c:v>
                </c:pt>
                <c:pt idx="15">
                  <c:v>1.0285322353604438</c:v>
                </c:pt>
                <c:pt idx="16">
                  <c:v>1.1758349921419025</c:v>
                </c:pt>
                <c:pt idx="17">
                  <c:v>1.3231377489233611</c:v>
                </c:pt>
                <c:pt idx="18">
                  <c:v>1.4704405057048198</c:v>
                </c:pt>
                <c:pt idx="19">
                  <c:v>1.6177432624862784</c:v>
                </c:pt>
                <c:pt idx="20">
                  <c:v>1.7650460192677371</c:v>
                </c:pt>
              </c:numCache>
            </c:numRef>
          </c:xVal>
          <c:yVal>
            <c:numRef>
              <c:f>'16.7-1,2,3'!$F$63:$F$83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BD-4F07-A737-B9624BB40A57}"/>
            </c:ext>
          </c:extLst>
        </c:ser>
        <c:ser>
          <c:idx val="4"/>
          <c:order val="4"/>
          <c:tx>
            <c:v>UCL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'16.7-1,2,3'!$F$40:$F$60</c:f>
              <c:numCache>
                <c:formatCode>0.000</c:formatCode>
                <c:ptCount val="21"/>
                <c:pt idx="0">
                  <c:v>-1.181009116361436</c:v>
                </c:pt>
                <c:pt idx="1">
                  <c:v>-1.0337063595799774</c:v>
                </c:pt>
                <c:pt idx="2">
                  <c:v>-0.88640360279851871</c:v>
                </c:pt>
                <c:pt idx="3">
                  <c:v>-0.73910084601706005</c:v>
                </c:pt>
                <c:pt idx="4">
                  <c:v>-0.5917980892356014</c:v>
                </c:pt>
                <c:pt idx="5">
                  <c:v>-0.44449533245414274</c:v>
                </c:pt>
                <c:pt idx="6">
                  <c:v>-0.29719257567268409</c:v>
                </c:pt>
                <c:pt idx="7">
                  <c:v>-0.14988981889122543</c:v>
                </c:pt>
                <c:pt idx="8">
                  <c:v>-2.5870621097667801E-3</c:v>
                </c:pt>
                <c:pt idx="9">
                  <c:v>0.14471569467169187</c:v>
                </c:pt>
                <c:pt idx="10">
                  <c:v>0.29201845145315053</c:v>
                </c:pt>
                <c:pt idx="11">
                  <c:v>0.43932120823460918</c:v>
                </c:pt>
                <c:pt idx="12">
                  <c:v>0.58662396501606784</c:v>
                </c:pt>
                <c:pt idx="13">
                  <c:v>0.73392672179752649</c:v>
                </c:pt>
                <c:pt idx="14">
                  <c:v>0.88122947857898515</c:v>
                </c:pt>
                <c:pt idx="15">
                  <c:v>1.0285322353604438</c:v>
                </c:pt>
                <c:pt idx="16">
                  <c:v>1.1758349921419025</c:v>
                </c:pt>
                <c:pt idx="17">
                  <c:v>1.3231377489233611</c:v>
                </c:pt>
                <c:pt idx="18">
                  <c:v>1.4704405057048198</c:v>
                </c:pt>
                <c:pt idx="19">
                  <c:v>1.6177432624862784</c:v>
                </c:pt>
                <c:pt idx="20">
                  <c:v>1.7650460192677371</c:v>
                </c:pt>
              </c:numCache>
            </c:numRef>
          </c:xVal>
          <c:yVal>
            <c:numRef>
              <c:f>'16.7-1,2,3'!$K$63:$K$83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5BD-4F07-A737-B9624BB40A57}"/>
            </c:ext>
          </c:extLst>
        </c:ser>
        <c:ser>
          <c:idx val="5"/>
          <c:order val="5"/>
          <c:tx>
            <c:v>LPL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'16.7-1,2,3'!$F$40:$F$60</c:f>
              <c:numCache>
                <c:formatCode>0.000</c:formatCode>
                <c:ptCount val="21"/>
                <c:pt idx="0">
                  <c:v>-1.181009116361436</c:v>
                </c:pt>
                <c:pt idx="1">
                  <c:v>-1.0337063595799774</c:v>
                </c:pt>
                <c:pt idx="2">
                  <c:v>-0.88640360279851871</c:v>
                </c:pt>
                <c:pt idx="3">
                  <c:v>-0.73910084601706005</c:v>
                </c:pt>
                <c:pt idx="4">
                  <c:v>-0.5917980892356014</c:v>
                </c:pt>
                <c:pt idx="5">
                  <c:v>-0.44449533245414274</c:v>
                </c:pt>
                <c:pt idx="6">
                  <c:v>-0.29719257567268409</c:v>
                </c:pt>
                <c:pt idx="7">
                  <c:v>-0.14988981889122543</c:v>
                </c:pt>
                <c:pt idx="8">
                  <c:v>-2.5870621097667801E-3</c:v>
                </c:pt>
                <c:pt idx="9">
                  <c:v>0.14471569467169187</c:v>
                </c:pt>
                <c:pt idx="10">
                  <c:v>0.29201845145315053</c:v>
                </c:pt>
                <c:pt idx="11">
                  <c:v>0.43932120823460918</c:v>
                </c:pt>
                <c:pt idx="12">
                  <c:v>0.58662396501606784</c:v>
                </c:pt>
                <c:pt idx="13">
                  <c:v>0.73392672179752649</c:v>
                </c:pt>
                <c:pt idx="14">
                  <c:v>0.88122947857898515</c:v>
                </c:pt>
                <c:pt idx="15">
                  <c:v>1.0285322353604438</c:v>
                </c:pt>
                <c:pt idx="16">
                  <c:v>1.1758349921419025</c:v>
                </c:pt>
                <c:pt idx="17">
                  <c:v>1.3231377489233611</c:v>
                </c:pt>
                <c:pt idx="18">
                  <c:v>1.4704405057048198</c:v>
                </c:pt>
                <c:pt idx="19">
                  <c:v>1.6177432624862784</c:v>
                </c:pt>
                <c:pt idx="20">
                  <c:v>1.7650460192677371</c:v>
                </c:pt>
              </c:numCache>
            </c:numRef>
          </c:xVal>
          <c:yVal>
            <c:numRef>
              <c:f>'16.7-1,2,3'!$P$63:$P$83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BD-4F07-A737-B9624BB40A57}"/>
            </c:ext>
          </c:extLst>
        </c:ser>
        <c:ser>
          <c:idx val="6"/>
          <c:order val="6"/>
          <c:tx>
            <c:v>UPL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'16.7-1,2,3'!$F$40:$F$60</c:f>
              <c:numCache>
                <c:formatCode>0.000</c:formatCode>
                <c:ptCount val="21"/>
                <c:pt idx="0">
                  <c:v>-1.181009116361436</c:v>
                </c:pt>
                <c:pt idx="1">
                  <c:v>-1.0337063595799774</c:v>
                </c:pt>
                <c:pt idx="2">
                  <c:v>-0.88640360279851871</c:v>
                </c:pt>
                <c:pt idx="3">
                  <c:v>-0.73910084601706005</c:v>
                </c:pt>
                <c:pt idx="4">
                  <c:v>-0.5917980892356014</c:v>
                </c:pt>
                <c:pt idx="5">
                  <c:v>-0.44449533245414274</c:v>
                </c:pt>
                <c:pt idx="6">
                  <c:v>-0.29719257567268409</c:v>
                </c:pt>
                <c:pt idx="7">
                  <c:v>-0.14988981889122543</c:v>
                </c:pt>
                <c:pt idx="8">
                  <c:v>-2.5870621097667801E-3</c:v>
                </c:pt>
                <c:pt idx="9">
                  <c:v>0.14471569467169187</c:v>
                </c:pt>
                <c:pt idx="10">
                  <c:v>0.29201845145315053</c:v>
                </c:pt>
                <c:pt idx="11">
                  <c:v>0.43932120823460918</c:v>
                </c:pt>
                <c:pt idx="12">
                  <c:v>0.58662396501606784</c:v>
                </c:pt>
                <c:pt idx="13">
                  <c:v>0.73392672179752649</c:v>
                </c:pt>
                <c:pt idx="14">
                  <c:v>0.88122947857898515</c:v>
                </c:pt>
                <c:pt idx="15">
                  <c:v>1.0285322353604438</c:v>
                </c:pt>
                <c:pt idx="16">
                  <c:v>1.1758349921419025</c:v>
                </c:pt>
                <c:pt idx="17">
                  <c:v>1.3231377489233611</c:v>
                </c:pt>
                <c:pt idx="18">
                  <c:v>1.4704405057048198</c:v>
                </c:pt>
                <c:pt idx="19">
                  <c:v>1.6177432624862784</c:v>
                </c:pt>
                <c:pt idx="20">
                  <c:v>1.7650460192677371</c:v>
                </c:pt>
              </c:numCache>
            </c:numRef>
          </c:xVal>
          <c:yVal>
            <c:numRef>
              <c:f>'16.7-1,2,3'!$U$63:$U$83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5BD-4F07-A737-B9624BB40A57}"/>
            </c:ext>
          </c:extLst>
        </c:ser>
        <c:ser>
          <c:idx val="7"/>
          <c:order val="7"/>
          <c:tx>
            <c:v>V 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'[7]Fig 16.7-4'!$S$25:$S$26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'[7]Fig 16.7-4'!$T$25:$T$26</c:f>
              <c:numCache>
                <c:formatCode>General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5BD-4F07-A737-B9624BB40A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6226911"/>
        <c:axId val="1836212991"/>
      </c:scatterChart>
      <c:valAx>
        <c:axId val="1836226911"/>
        <c:scaling>
          <c:orientation val="minMax"/>
          <c:max val="1.8"/>
          <c:min val="-1.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12991"/>
        <c:crosses val="autoZero"/>
        <c:crossBetween val="midCat"/>
        <c:majorUnit val="0.4"/>
      </c:valAx>
      <c:valAx>
        <c:axId val="1836212991"/>
        <c:scaling>
          <c:orientation val="minMax"/>
          <c:max val="75"/>
          <c:min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26911"/>
        <c:crossesAt val="-1.5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7" Type="http://schemas.openxmlformats.org/officeDocument/2006/relationships/chart" Target="../charts/chart12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19</xdr:row>
      <xdr:rowOff>95250</xdr:rowOff>
    </xdr:from>
    <xdr:to>
      <xdr:col>1</xdr:col>
      <xdr:colOff>2477280</xdr:colOff>
      <xdr:row>21</xdr:row>
      <xdr:rowOff>171516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A5C6FE-D153-A9A0-FECF-85FF431B58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3895725"/>
          <a:ext cx="5591955" cy="47631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25399</xdr:colOff>
      <xdr:row>25</xdr:row>
      <xdr:rowOff>76201</xdr:rowOff>
    </xdr:from>
    <xdr:to>
      <xdr:col>23</xdr:col>
      <xdr:colOff>406400</xdr:colOff>
      <xdr:row>38</xdr:row>
      <xdr:rowOff>169333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71C4C5A-D389-4F7D-85A0-789D4FB53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50798</xdr:colOff>
      <xdr:row>9</xdr:row>
      <xdr:rowOff>29632</xdr:rowOff>
    </xdr:from>
    <xdr:to>
      <xdr:col>10</xdr:col>
      <xdr:colOff>482600</xdr:colOff>
      <xdr:row>17</xdr:row>
      <xdr:rowOff>169333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E271F9B-2A09-48EA-8AC3-467CE7E26C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203202</xdr:colOff>
      <xdr:row>1</xdr:row>
      <xdr:rowOff>50802</xdr:rowOff>
    </xdr:from>
    <xdr:ext cx="10810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EDD6BEB-FCE1-4A10-A022-C20ACF877C93}"/>
                </a:ext>
              </a:extLst>
            </xdr:cNvPr>
            <xdr:cNvSpPr txBox="1"/>
          </xdr:nvSpPr>
          <xdr:spPr>
            <a:xfrm>
              <a:off x="1774827" y="250827"/>
              <a:ext cx="10810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US" sz="1100" b="1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100" b="1" i="0">
                            <a:latin typeface="Cambria Math" panose="02040503050406030204" pitchFamily="18" charset="0"/>
                          </a:rPr>
                          <m:t>𝐲</m:t>
                        </m:r>
                      </m:e>
                    </m:acc>
                  </m:oMath>
                </m:oMathPara>
              </a14:m>
              <a:endParaRPr lang="en-US" sz="1100" b="1" i="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EDD6BEB-FCE1-4A10-A022-C20ACF877C93}"/>
                </a:ext>
              </a:extLst>
            </xdr:cNvPr>
            <xdr:cNvSpPr txBox="1"/>
          </xdr:nvSpPr>
          <xdr:spPr>
            <a:xfrm>
              <a:off x="1774827" y="250827"/>
              <a:ext cx="10810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1" i="0">
                  <a:latin typeface="Cambria Math" panose="02040503050406030204" pitchFamily="18" charset="0"/>
                </a:rPr>
                <a:t>𝐲 ̂</a:t>
              </a:r>
              <a:endParaRPr lang="en-US" sz="1100" b="1" i="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28</xdr:col>
      <xdr:colOff>343498</xdr:colOff>
      <xdr:row>1</xdr:row>
      <xdr:rowOff>166889</xdr:rowOff>
    </xdr:from>
    <xdr:ext cx="2768202" cy="2733540"/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E93A2CB-3F6B-4B54-BD99-246650A222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28</xdr:col>
      <xdr:colOff>373329</xdr:colOff>
      <xdr:row>16</xdr:row>
      <xdr:rowOff>4944</xdr:rowOff>
    </xdr:from>
    <xdr:ext cx="2768202" cy="2725300"/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7918366-66CA-4C7E-BF2F-3ED3ACD1C9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28</xdr:col>
      <xdr:colOff>343498</xdr:colOff>
      <xdr:row>1</xdr:row>
      <xdr:rowOff>166889</xdr:rowOff>
    </xdr:from>
    <xdr:ext cx="2768202" cy="273354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0378EC-960A-42D9-9B2F-BC9FC610D3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28</xdr:col>
      <xdr:colOff>373329</xdr:colOff>
      <xdr:row>16</xdr:row>
      <xdr:rowOff>4944</xdr:rowOff>
    </xdr:from>
    <xdr:ext cx="2768202" cy="2725300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0E827AE-A8A1-46F8-9A73-559567DF6D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0</xdr:row>
      <xdr:rowOff>6350</xdr:rowOff>
    </xdr:from>
    <xdr:to>
      <xdr:col>19</xdr:col>
      <xdr:colOff>190500</xdr:colOff>
      <xdr:row>12</xdr:row>
      <xdr:rowOff>146050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48E51293-631E-4B82-952E-BDF4769AF5EC}"/>
            </a:ext>
          </a:extLst>
        </xdr:cNvPr>
        <xdr:cNvGrpSpPr/>
      </xdr:nvGrpSpPr>
      <xdr:grpSpPr>
        <a:xfrm>
          <a:off x="4813300" y="6350"/>
          <a:ext cx="4572000" cy="2743200"/>
          <a:chOff x="5105400" y="209550"/>
          <a:chExt cx="4572000" cy="2743200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0D44D9A2-B2C3-5ACF-976D-CB59704690B2}"/>
              </a:ext>
            </a:extLst>
          </xdr:cNvPr>
          <xdr:cNvGraphicFramePr>
            <a:graphicFrameLocks/>
          </xdr:cNvGraphicFramePr>
        </xdr:nvGraphicFramePr>
        <xdr:xfrm>
          <a:off x="5105400" y="209550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285B6FF2-BD64-D568-6C70-9A07FBCDC1A6}"/>
              </a:ext>
            </a:extLst>
          </xdr:cNvPr>
          <xdr:cNvSpPr/>
        </xdr:nvSpPr>
        <xdr:spPr>
          <a:xfrm rot="10800000" flipV="1">
            <a:off x="5721350" y="1974849"/>
            <a:ext cx="184150" cy="36576"/>
          </a:xfrm>
          <a:prstGeom prst="rect">
            <a:avLst/>
          </a:prstGeom>
          <a:solidFill>
            <a:schemeClr val="tx1">
              <a:alpha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FAFBF35A-40A6-E503-66C9-05645625E5A0}"/>
              </a:ext>
            </a:extLst>
          </xdr:cNvPr>
          <xdr:cNvSpPr/>
        </xdr:nvSpPr>
        <xdr:spPr>
          <a:xfrm rot="10800000" flipV="1">
            <a:off x="6448425" y="1965705"/>
            <a:ext cx="184150" cy="45720"/>
          </a:xfrm>
          <a:prstGeom prst="rect">
            <a:avLst/>
          </a:prstGeom>
          <a:solidFill>
            <a:schemeClr val="tx1">
              <a:alpha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81489974-8CEF-F7DC-4457-0BEBA62FF08C}"/>
              </a:ext>
            </a:extLst>
          </xdr:cNvPr>
          <xdr:cNvSpPr/>
        </xdr:nvSpPr>
        <xdr:spPr>
          <a:xfrm rot="10800000" flipV="1">
            <a:off x="6911975" y="1804288"/>
            <a:ext cx="184150" cy="210312"/>
          </a:xfrm>
          <a:prstGeom prst="rect">
            <a:avLst/>
          </a:prstGeom>
          <a:solidFill>
            <a:schemeClr val="tx1">
              <a:alpha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70535FAC-7127-7BAE-5CA0-2BABBEE06A17}"/>
              </a:ext>
            </a:extLst>
          </xdr:cNvPr>
          <xdr:cNvSpPr/>
        </xdr:nvSpPr>
        <xdr:spPr>
          <a:xfrm rot="10800000" flipV="1">
            <a:off x="7308850" y="1795144"/>
            <a:ext cx="184150" cy="219456"/>
          </a:xfrm>
          <a:prstGeom prst="rect">
            <a:avLst/>
          </a:prstGeom>
          <a:solidFill>
            <a:schemeClr val="tx1">
              <a:alpha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8" name="Rectangle 7">
            <a:extLst>
              <a:ext uri="{FF2B5EF4-FFF2-40B4-BE49-F238E27FC236}">
                <a16:creationId xmlns:a16="http://schemas.microsoft.com/office/drawing/2014/main" id="{FB4DDBDB-AC65-AF5C-AA29-7CABA4E21FDF}"/>
              </a:ext>
            </a:extLst>
          </xdr:cNvPr>
          <xdr:cNvSpPr/>
        </xdr:nvSpPr>
        <xdr:spPr>
          <a:xfrm rot="10800000" flipV="1">
            <a:off x="7705725" y="1450975"/>
            <a:ext cx="184150" cy="568325"/>
          </a:xfrm>
          <a:prstGeom prst="rect">
            <a:avLst/>
          </a:prstGeom>
          <a:solidFill>
            <a:schemeClr val="tx1">
              <a:alpha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B4A9F8ED-0BE2-BBA7-63FE-432203F77E58}"/>
              </a:ext>
            </a:extLst>
          </xdr:cNvPr>
          <xdr:cNvSpPr/>
        </xdr:nvSpPr>
        <xdr:spPr>
          <a:xfrm rot="10800000" flipV="1">
            <a:off x="8162925" y="589661"/>
            <a:ext cx="184150" cy="1426464"/>
          </a:xfrm>
          <a:prstGeom prst="rect">
            <a:avLst/>
          </a:prstGeom>
          <a:solidFill>
            <a:schemeClr val="tx1">
              <a:alpha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10" name="Rectangle 9">
            <a:extLst>
              <a:ext uri="{FF2B5EF4-FFF2-40B4-BE49-F238E27FC236}">
                <a16:creationId xmlns:a16="http://schemas.microsoft.com/office/drawing/2014/main" id="{EC97695D-788F-6672-8EF1-A3B65B2FE157}"/>
              </a:ext>
            </a:extLst>
          </xdr:cNvPr>
          <xdr:cNvSpPr/>
        </xdr:nvSpPr>
        <xdr:spPr>
          <a:xfrm rot="10800000" flipV="1">
            <a:off x="8893175" y="553084"/>
            <a:ext cx="184150" cy="1463040"/>
          </a:xfrm>
          <a:prstGeom prst="rect">
            <a:avLst/>
          </a:prstGeom>
          <a:solidFill>
            <a:schemeClr val="tx1">
              <a:alpha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40640</xdr:colOff>
      <xdr:row>64</xdr:row>
      <xdr:rowOff>0</xdr:rowOff>
    </xdr:from>
    <xdr:ext cx="3099816" cy="309981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81EAAB6-454A-48C3-8C80-5EF9EE0002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9</xdr:col>
      <xdr:colOff>0</xdr:colOff>
      <xdr:row>64</xdr:row>
      <xdr:rowOff>0</xdr:rowOff>
    </xdr:from>
    <xdr:ext cx="3099816" cy="3099816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EBE410A-9D1B-4CC6-86BE-A841B0E56B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15</xdr:col>
      <xdr:colOff>30480</xdr:colOff>
      <xdr:row>64</xdr:row>
      <xdr:rowOff>0</xdr:rowOff>
    </xdr:from>
    <xdr:ext cx="3099816" cy="3099816"/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94F055D-73E0-4BB0-8A96-D6C698028C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9</xdr:col>
      <xdr:colOff>0</xdr:colOff>
      <xdr:row>80</xdr:row>
      <xdr:rowOff>0</xdr:rowOff>
    </xdr:from>
    <xdr:ext cx="3099816" cy="3099816"/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958E726-99B8-4E63-A560-622CDBA349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oneCellAnchor>
    <xdr:from>
      <xdr:col>15</xdr:col>
      <xdr:colOff>30480</xdr:colOff>
      <xdr:row>80</xdr:row>
      <xdr:rowOff>0</xdr:rowOff>
    </xdr:from>
    <xdr:ext cx="3099816" cy="3099816"/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33BBADD-F623-4C8A-9CCA-CC736D857D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  <xdr:oneCellAnchor>
    <xdr:from>
      <xdr:col>0</xdr:col>
      <xdr:colOff>0</xdr:colOff>
      <xdr:row>80</xdr:row>
      <xdr:rowOff>0</xdr:rowOff>
    </xdr:from>
    <xdr:ext cx="3099816" cy="3154602"/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EC886D4-F4EF-4A1F-9765-8E07980F236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oneCellAnchor>
  <xdr:oneCellAnchor>
    <xdr:from>
      <xdr:col>12</xdr:col>
      <xdr:colOff>50799</xdr:colOff>
      <xdr:row>20</xdr:row>
      <xdr:rowOff>20320</xdr:rowOff>
    </xdr:from>
    <xdr:ext cx="4038600" cy="4513580"/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4AE17B5-4960-4853-8511-D43071BB92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36</xdr:row>
      <xdr:rowOff>0</xdr:rowOff>
    </xdr:from>
    <xdr:to>
      <xdr:col>5</xdr:col>
      <xdr:colOff>47625</xdr:colOff>
      <xdr:row>48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5303FF9A-DEB9-5B48-8FF3-304B741FFAC8}"/>
            </a:ext>
          </a:extLst>
        </xdr:cNvPr>
        <xdr:cNvGrpSpPr/>
      </xdr:nvGrpSpPr>
      <xdr:grpSpPr>
        <a:xfrm>
          <a:off x="0" y="6934200"/>
          <a:ext cx="2587625" cy="2286000"/>
          <a:chOff x="12287250" y="6972300"/>
          <a:chExt cx="2286000" cy="2286000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1C17F6DE-AD1B-994F-EDDC-C8C9B144DE40}"/>
              </a:ext>
            </a:extLst>
          </xdr:cNvPr>
          <xdr:cNvGraphicFramePr>
            <a:graphicFrameLocks/>
          </xdr:cNvGraphicFramePr>
        </xdr:nvGraphicFramePr>
        <xdr:xfrm>
          <a:off x="12287250" y="6972300"/>
          <a:ext cx="2286000" cy="2286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388E459-557B-0CB0-F345-2930EB9F02F5}"/>
              </a:ext>
            </a:extLst>
          </xdr:cNvPr>
          <xdr:cNvSpPr txBox="1"/>
        </xdr:nvSpPr>
        <xdr:spPr>
          <a:xfrm>
            <a:off x="13301657" y="7043737"/>
            <a:ext cx="306238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l-GR" sz="1100" b="1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δ</a:t>
            </a:r>
            <a:r>
              <a:rPr lang="en-US" sz="1100" b="1" baseline="-2500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2</a:t>
            </a:r>
            <a:endParaRPr lang="en-US" sz="1100" b="1" baseline="-250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9B39E913-B682-0136-0B55-8E18204F91C5}"/>
              </a:ext>
            </a:extLst>
          </xdr:cNvPr>
          <xdr:cNvSpPr txBox="1"/>
        </xdr:nvSpPr>
        <xdr:spPr>
          <a:xfrm>
            <a:off x="14220814" y="7967661"/>
            <a:ext cx="306238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l-GR" sz="1100" b="1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δ</a:t>
            </a:r>
            <a:r>
              <a:rPr lang="en-US" sz="1100" b="1" baseline="-2500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1</a:t>
            </a:r>
            <a:endParaRPr lang="en-US" sz="1100" b="1" baseline="-25000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 editAs="oneCell">
    <xdr:from>
      <xdr:col>6</xdr:col>
      <xdr:colOff>0</xdr:colOff>
      <xdr:row>36</xdr:row>
      <xdr:rowOff>0</xdr:rowOff>
    </xdr:from>
    <xdr:to>
      <xdr:col>11</xdr:col>
      <xdr:colOff>47625</xdr:colOff>
      <xdr:row>48</xdr:row>
      <xdr:rowOff>0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AD223DC4-DF38-174D-B380-8B7D6AFDB13B}"/>
            </a:ext>
          </a:extLst>
        </xdr:cNvPr>
        <xdr:cNvGrpSpPr>
          <a:grpSpLocks/>
        </xdr:cNvGrpSpPr>
      </xdr:nvGrpSpPr>
      <xdr:grpSpPr>
        <a:xfrm>
          <a:off x="3048000" y="6934200"/>
          <a:ext cx="2587625" cy="2286000"/>
          <a:chOff x="15420975" y="6972300"/>
          <a:chExt cx="2286000" cy="2286000"/>
        </a:xfrm>
      </xdr:grpSpPr>
      <xdr:graphicFrame macro="">
        <xdr:nvGraphicFramePr>
          <xdr:cNvPr id="7" name="Chart 6">
            <a:extLst>
              <a:ext uri="{FF2B5EF4-FFF2-40B4-BE49-F238E27FC236}">
                <a16:creationId xmlns:a16="http://schemas.microsoft.com/office/drawing/2014/main" id="{F9F09E26-D697-9CBC-8CD8-46D804566056}"/>
              </a:ext>
            </a:extLst>
          </xdr:cNvPr>
          <xdr:cNvGraphicFramePr>
            <a:graphicFrameLocks/>
          </xdr:cNvGraphicFramePr>
        </xdr:nvGraphicFramePr>
        <xdr:xfrm>
          <a:off x="15420975" y="6972300"/>
          <a:ext cx="2286000" cy="2286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BC9325E4-1648-A8AE-644C-3C0D566A8D3C}"/>
              </a:ext>
            </a:extLst>
          </xdr:cNvPr>
          <xdr:cNvSpPr txBox="1"/>
        </xdr:nvSpPr>
        <xdr:spPr>
          <a:xfrm>
            <a:off x="16440151" y="7038975"/>
            <a:ext cx="306238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l-GR" sz="1100" b="1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δ</a:t>
            </a:r>
            <a:r>
              <a:rPr lang="en-US" sz="1100" b="1" baseline="-2500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3</a:t>
            </a:r>
            <a:endParaRPr lang="en-US" sz="1100" b="1" baseline="-250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1249B87F-A7C4-EFDC-E997-B5C5D3516D84}"/>
              </a:ext>
            </a:extLst>
          </xdr:cNvPr>
          <xdr:cNvSpPr txBox="1"/>
        </xdr:nvSpPr>
        <xdr:spPr>
          <a:xfrm>
            <a:off x="17364071" y="7962899"/>
            <a:ext cx="306238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l-GR" sz="1100" b="1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δ</a:t>
            </a:r>
            <a:r>
              <a:rPr lang="en-US" sz="1100" b="1" baseline="-2500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1</a:t>
            </a:r>
            <a:endParaRPr lang="en-US" sz="1100" b="1" baseline="-25000">
              <a:solidFill>
                <a:sysClr val="windowText" lastClr="000000"/>
              </a:solidFill>
            </a:endParaRPr>
          </a:p>
        </xdr:txBody>
      </xdr:sp>
    </xdr:grpSp>
    <xdr:clientData/>
  </xdr:twoCellAnchor>
  <xdr:oneCellAnchor>
    <xdr:from>
      <xdr:col>12</xdr:col>
      <xdr:colOff>0</xdr:colOff>
      <xdr:row>36</xdr:row>
      <xdr:rowOff>0</xdr:rowOff>
    </xdr:from>
    <xdr:ext cx="2286000" cy="2286000"/>
    <xdr:grpSp>
      <xdr:nvGrpSpPr>
        <xdr:cNvPr id="10" name="Group 9">
          <a:extLst>
            <a:ext uri="{FF2B5EF4-FFF2-40B4-BE49-F238E27FC236}">
              <a16:creationId xmlns:a16="http://schemas.microsoft.com/office/drawing/2014/main" id="{1322A046-FCB8-BC48-8310-BA1EC4FF3037}"/>
            </a:ext>
          </a:extLst>
        </xdr:cNvPr>
        <xdr:cNvGrpSpPr/>
      </xdr:nvGrpSpPr>
      <xdr:grpSpPr>
        <a:xfrm>
          <a:off x="6096000" y="6934200"/>
          <a:ext cx="2286000" cy="2286000"/>
          <a:chOff x="18716625" y="6972300"/>
          <a:chExt cx="2286000" cy="2286000"/>
        </a:xfrm>
      </xdr:grpSpPr>
      <xdr:graphicFrame macro="">
        <xdr:nvGraphicFramePr>
          <xdr:cNvPr id="11" name="Chart 10">
            <a:extLst>
              <a:ext uri="{FF2B5EF4-FFF2-40B4-BE49-F238E27FC236}">
                <a16:creationId xmlns:a16="http://schemas.microsoft.com/office/drawing/2014/main" id="{6CEDBE88-2512-0D74-78F4-EDB3664512CB}"/>
              </a:ext>
            </a:extLst>
          </xdr:cNvPr>
          <xdr:cNvGraphicFramePr>
            <a:graphicFrameLocks/>
          </xdr:cNvGraphicFramePr>
        </xdr:nvGraphicFramePr>
        <xdr:xfrm>
          <a:off x="18716625" y="6972300"/>
          <a:ext cx="2286000" cy="2286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2" name="TextBox 11">
            <a:extLst>
              <a:ext uri="{FF2B5EF4-FFF2-40B4-BE49-F238E27FC236}">
                <a16:creationId xmlns:a16="http://schemas.microsoft.com/office/drawing/2014/main" id="{11C2EAA3-25C8-A489-C670-C8A3E924B8E6}"/>
              </a:ext>
            </a:extLst>
          </xdr:cNvPr>
          <xdr:cNvSpPr txBox="1"/>
        </xdr:nvSpPr>
        <xdr:spPr>
          <a:xfrm>
            <a:off x="19731037" y="7038976"/>
            <a:ext cx="306238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l-GR" sz="1100" b="1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δ</a:t>
            </a:r>
            <a:r>
              <a:rPr lang="en-US" sz="1100" b="1" baseline="-2500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3</a:t>
            </a:r>
            <a:endParaRPr lang="en-US" sz="1100" b="1" baseline="-250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3" name="TextBox 12">
            <a:extLst>
              <a:ext uri="{FF2B5EF4-FFF2-40B4-BE49-F238E27FC236}">
                <a16:creationId xmlns:a16="http://schemas.microsoft.com/office/drawing/2014/main" id="{89F26618-68B4-689B-B0EF-16DC72E011E7}"/>
              </a:ext>
            </a:extLst>
          </xdr:cNvPr>
          <xdr:cNvSpPr txBox="1"/>
        </xdr:nvSpPr>
        <xdr:spPr>
          <a:xfrm>
            <a:off x="20654957" y="7962900"/>
            <a:ext cx="306238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l-GR" sz="1100" b="1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δ</a:t>
            </a:r>
            <a:r>
              <a:rPr lang="en-US" sz="1100" b="1" baseline="-2500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2</a:t>
            </a:r>
            <a:endParaRPr lang="en-US" sz="1100" b="1" baseline="-25000">
              <a:solidFill>
                <a:sysClr val="windowText" lastClr="000000"/>
              </a:solidFill>
            </a:endParaRPr>
          </a:p>
        </xdr:txBody>
      </xdr:sp>
    </xdr:grp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133350</xdr:colOff>
      <xdr:row>1</xdr:row>
      <xdr:rowOff>0</xdr:rowOff>
    </xdr:from>
    <xdr:to>
      <xdr:col>39</xdr:col>
      <xdr:colOff>209550</xdr:colOff>
      <xdr:row>17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D17089-D303-094F-85FA-042B7F1088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0.43899</cdr:x>
      <cdr:y>0.024</cdr:y>
    </cdr:from>
    <cdr:to>
      <cdr:x>0.50564</cdr:x>
      <cdr:y>0.12582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619E4CF-C53D-DE90-242A-3B77FAFD4F74}"/>
            </a:ext>
          </a:extLst>
        </cdr:cNvPr>
        <cdr:cNvSpPr txBox="1"/>
      </cdr:nvSpPr>
      <cdr:spPr>
        <a:xfrm xmlns:a="http://schemas.openxmlformats.org/drawingml/2006/main">
          <a:off x="2001197" y="76112"/>
          <a:ext cx="303834" cy="3228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 b="1" kern="1200">
              <a:solidFill>
                <a:sysClr val="windowText" lastClr="000000"/>
              </a:solidFill>
            </a:rPr>
            <a:t>H</a:t>
          </a:r>
          <a:r>
            <a:rPr lang="en-US" sz="1600" b="1" kern="1200" baseline="-25000">
              <a:solidFill>
                <a:sysClr val="windowText" lastClr="000000"/>
              </a:solidFill>
            </a:rPr>
            <a:t>0</a:t>
          </a:r>
          <a:endParaRPr lang="en-US" sz="1400" b="1" kern="1200" baseline="-25000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0.71293</cdr:x>
      <cdr:y>0.024</cdr:y>
    </cdr:from>
    <cdr:to>
      <cdr:x>0.77958</cdr:x>
      <cdr:y>0.12582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D62AFA47-F77C-4ECC-74C3-3D1A3389CDF8}"/>
            </a:ext>
          </a:extLst>
        </cdr:cNvPr>
        <cdr:cNvSpPr txBox="1"/>
      </cdr:nvSpPr>
      <cdr:spPr>
        <a:xfrm xmlns:a="http://schemas.openxmlformats.org/drawingml/2006/main">
          <a:off x="3250018" y="76112"/>
          <a:ext cx="303834" cy="3228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 b="1" kern="1200">
              <a:solidFill>
                <a:sysClr val="windowText" lastClr="000000"/>
              </a:solidFill>
            </a:rPr>
            <a:t>H</a:t>
          </a:r>
          <a:r>
            <a:rPr lang="en-US" sz="1600" b="1" kern="1200" baseline="-25000">
              <a:solidFill>
                <a:sysClr val="windowText" lastClr="000000"/>
              </a:solidFill>
            </a:rPr>
            <a:t>A</a:t>
          </a:r>
          <a:endParaRPr lang="en-US" sz="1100" b="1" kern="1200" baseline="-25000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0.58149</cdr:x>
      <cdr:y>0.64322</cdr:y>
    </cdr:from>
    <cdr:to>
      <cdr:x>0.69049</cdr:x>
      <cdr:y>0.79037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74A2C82D-4F6A-270E-5404-8A2D11809E53}"/>
            </a:ext>
          </a:extLst>
        </cdr:cNvPr>
        <cdr:cNvSpPr txBox="1"/>
      </cdr:nvSpPr>
      <cdr:spPr>
        <a:xfrm xmlns:a="http://schemas.openxmlformats.org/drawingml/2006/main">
          <a:off x="2658561" y="2058552"/>
          <a:ext cx="498344" cy="4709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400" b="1" kern="1200">
              <a:solidFill>
                <a:sysClr val="windowText" lastClr="000000"/>
              </a:solidFill>
            </a:rPr>
            <a:t>Type I</a:t>
          </a:r>
        </a:p>
        <a:p xmlns:a="http://schemas.openxmlformats.org/drawingml/2006/main">
          <a:pPr algn="ctr"/>
          <a:r>
            <a:rPr lang="en-US" sz="1400" b="1" kern="1200">
              <a:solidFill>
                <a:sysClr val="windowText" lastClr="000000"/>
              </a:solidFill>
            </a:rPr>
            <a:t>Error</a:t>
          </a:r>
          <a:endParaRPr lang="en-US" sz="1400" b="1" kern="1200" baseline="-25000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0.15567</cdr:x>
      <cdr:y>0.64322</cdr:y>
    </cdr:from>
    <cdr:to>
      <cdr:x>0.26439</cdr:x>
      <cdr:y>0.81042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2CC2BC19-F6A5-A7F1-0B26-B4AD11885FEE}"/>
            </a:ext>
          </a:extLst>
        </cdr:cNvPr>
        <cdr:cNvSpPr txBox="1"/>
      </cdr:nvSpPr>
      <cdr:spPr>
        <a:xfrm xmlns:a="http://schemas.openxmlformats.org/drawingml/2006/main">
          <a:off x="711708" y="2058552"/>
          <a:ext cx="497070" cy="5351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400" b="1" kern="1200">
              <a:solidFill>
                <a:sysClr val="windowText" lastClr="000000"/>
              </a:solidFill>
            </a:rPr>
            <a:t>Type I</a:t>
          </a:r>
        </a:p>
        <a:p xmlns:a="http://schemas.openxmlformats.org/drawingml/2006/main">
          <a:pPr algn="ctr"/>
          <a:r>
            <a:rPr lang="en-US" sz="1400" b="1" kern="1200">
              <a:solidFill>
                <a:sysClr val="windowText" lastClr="000000"/>
              </a:solidFill>
            </a:rPr>
            <a:t>Error</a:t>
          </a:r>
          <a:endParaRPr lang="en-US" sz="1400" b="1" kern="1200" baseline="-25000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0.40931</cdr:x>
      <cdr:y>0.64322</cdr:y>
    </cdr:from>
    <cdr:to>
      <cdr:x>0.52226</cdr:x>
      <cdr:y>0.78954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B1B0611B-09FA-B3AC-E829-4DE38AC9418D}"/>
            </a:ext>
          </a:extLst>
        </cdr:cNvPr>
        <cdr:cNvSpPr txBox="1"/>
      </cdr:nvSpPr>
      <cdr:spPr>
        <a:xfrm xmlns:a="http://schemas.openxmlformats.org/drawingml/2006/main">
          <a:off x="1871350" y="2058552"/>
          <a:ext cx="516433" cy="4682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400" b="1" kern="1200">
              <a:solidFill>
                <a:sysClr val="windowText" lastClr="000000"/>
              </a:solidFill>
            </a:rPr>
            <a:t>Type II</a:t>
          </a:r>
        </a:p>
        <a:p xmlns:a="http://schemas.openxmlformats.org/drawingml/2006/main">
          <a:pPr algn="ctr"/>
          <a:r>
            <a:rPr lang="en-US" sz="1400" b="1" kern="1200">
              <a:solidFill>
                <a:sysClr val="windowText" lastClr="000000"/>
              </a:solidFill>
            </a:rPr>
            <a:t>Error</a:t>
          </a:r>
          <a:endParaRPr lang="en-US" sz="1400" b="1" kern="1200" baseline="-25000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0.22996</cdr:x>
      <cdr:y>0.33299</cdr:y>
    </cdr:from>
    <cdr:to>
      <cdr:x>0.33868</cdr:x>
      <cdr:y>0.43352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E31C0D66-1355-30D8-142C-499EF812676C}"/>
            </a:ext>
          </a:extLst>
        </cdr:cNvPr>
        <cdr:cNvSpPr txBox="1"/>
      </cdr:nvSpPr>
      <cdr:spPr>
        <a:xfrm xmlns:a="http://schemas.openxmlformats.org/drawingml/2006/main">
          <a:off x="1048313" y="1055880"/>
          <a:ext cx="495617" cy="318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400" b="1" kern="1200" baseline="0">
              <a:solidFill>
                <a:sysClr val="windowText" lastClr="000000"/>
              </a:solidFill>
            </a:rPr>
            <a:t>LCL</a:t>
          </a:r>
        </a:p>
      </cdr:txBody>
    </cdr:sp>
  </cdr:relSizeAnchor>
  <cdr:relSizeAnchor xmlns:cdr="http://schemas.openxmlformats.org/drawingml/2006/chartDrawing">
    <cdr:from>
      <cdr:x>0.50523</cdr:x>
      <cdr:y>0.33299</cdr:y>
    </cdr:from>
    <cdr:to>
      <cdr:x>0.61395</cdr:x>
      <cdr:y>0.43352</cdr:y>
    </cdr:to>
    <cdr:sp macro="" textlink="">
      <cdr:nvSpPr>
        <cdr:cNvPr id="8" name="TextBox 1">
          <a:extLst xmlns:a="http://schemas.openxmlformats.org/drawingml/2006/main">
            <a:ext uri="{FF2B5EF4-FFF2-40B4-BE49-F238E27FC236}">
              <a16:creationId xmlns:a16="http://schemas.microsoft.com/office/drawing/2014/main" id="{3C646152-6FFA-F04F-428F-C12F1AF81380}"/>
            </a:ext>
          </a:extLst>
        </cdr:cNvPr>
        <cdr:cNvSpPr txBox="1"/>
      </cdr:nvSpPr>
      <cdr:spPr>
        <a:xfrm xmlns:a="http://schemas.openxmlformats.org/drawingml/2006/main">
          <a:off x="2303160" y="1055880"/>
          <a:ext cx="495616" cy="318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400" b="1" kern="1200" baseline="0">
              <a:solidFill>
                <a:sysClr val="windowText" lastClr="000000"/>
              </a:solidFill>
            </a:rPr>
            <a:t>UCL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josephcolannino/Library/CloudStorage/Dropbox/MCSPA/MCSPA%202024/My%20Files/Figures%20and%20Tables/XLSX/6%20Orthogonality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jcolannino/Desktop/XRealStatsX.xlam" TargetMode="External"/><Relationship Id="rId1" Type="http://schemas.openxmlformats.org/officeDocument/2006/relationships/externalLinkPath" Target="file:///C:/Users/jcolannino/Desktop/XRealStatsX.xla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josephcolannino/Library/CloudStorage/Dropbox/My%20Mac%20(MacBook-Air)/Downloads/y%200.87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patri/Dropbox/Faber%20Burner%20Shared/All%20Figures%20and%20Tables/15.%20Mixture%20Designs/15.2-3.xlsx" TargetMode="External"/><Relationship Id="rId1" Type="http://schemas.openxmlformats.org/officeDocument/2006/relationships/externalLinkPath" Target="file:///C:/Users/patri/Dropbox/Faber%20Burner%20Shared/All%20Figures%20and%20Tables/15.%20Mixture%20Designs/15.2-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josephcolannino/Library/CloudStorage/Dropbox/MCSPA/MCSPA%202024/My%20Files/Figures%20and%20Tables/6%20Orthogonality_R1%20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patri/Desktop/XRealStats%20.xlam" TargetMode="External"/><Relationship Id="rId1" Type="http://schemas.openxmlformats.org/officeDocument/2006/relationships/externalLinkPath" Target="file:///C:/Users/patri/Desktop/XRealStats%20.xlam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josephcolannino/Library/CloudStorage/Dropbox/My%20Mac%20(MacBook-Air)/Desktop/XRealStats-Mac.xlam" TargetMode="External"/><Relationship Id="rId1" Type="http://schemas.openxmlformats.org/officeDocument/2006/relationships/externalLinkPath" Target="/Users/josephcolannino/Library/CloudStorage/Dropbox/My%20Mac%20(MacBook-Air)/Desktop/XRealStats-Mac.xlam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patri/Dropbox/Faber%20Burner%20Shared/All%20Figures%20and%20Tables/16.%20Non-Ideal%20Data/16.7-1...5.xlsx" TargetMode="External"/><Relationship Id="rId1" Type="http://schemas.openxmlformats.org/officeDocument/2006/relationships/externalLinkPath" Target="file:///C:/Users/patri/Dropbox/Faber%20Burner%20Shared/All%20Figures%20and%20Tables/16.%20Non-Ideal%20Data/16.7-1...5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patri/AppData/Roaming/Microsoft/AddIns/XRealStats%20.xlam" TargetMode="External"/><Relationship Id="rId1" Type="http://schemas.openxmlformats.org/officeDocument/2006/relationships/externalLinkPath" Target="file:///C:/Users/patri/AppData/Roaming/Microsoft/AddIns/XRealStats%20.xlam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josephcolannino/Library/CloudStorage/Dropbox/MCSPA/2nd%20ed.%20(2025)/2025/Addendum%2016.11/Example%2016.11-1_Multifactor%20Space.xlsx" TargetMode="External"/><Relationship Id="rId1" Type="http://schemas.openxmlformats.org/officeDocument/2006/relationships/externalLinkPath" Target="/Users/josephcolannino/Library/CloudStorage/Dropbox/MCSPA/2nd%20ed.%20(2025)/2025/Addendum%2016.11/Example%2016.11-1_Multifactor%20Spa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.3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XRealStatsX"/>
    </sheetNames>
    <definedNames>
      <definedName name="MSQR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.3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Q"/>
      <sheetName val="X"/>
    </sheetNames>
    <sheetDataSet>
      <sheetData sheetId="0">
        <row r="2">
          <cell r="B2" t="e">
            <v>#NAME?</v>
          </cell>
          <cell r="C2" t="e">
            <v>#NAME?</v>
          </cell>
          <cell r="D2" t="e">
            <v>#NAME?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J2" t="e">
            <v>#NAME?</v>
          </cell>
          <cell r="K2" t="e">
            <v>#NAME?</v>
          </cell>
          <cell r="L2" t="e">
            <v>#NAME?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U2" t="e">
            <v>#NAME?</v>
          </cell>
          <cell r="V2" t="e">
            <v>#NAME?</v>
          </cell>
          <cell r="W2" t="e">
            <v>#NAME?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</row>
        <row r="3">
          <cell r="B3" t="e">
            <v>#NAME?</v>
          </cell>
          <cell r="C3" t="e">
            <v>#NAME?</v>
          </cell>
          <cell r="D3" t="e">
            <v>#NAME?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J3" t="e">
            <v>#NAME?</v>
          </cell>
          <cell r="K3" t="e">
            <v>#NAME?</v>
          </cell>
          <cell r="L3" t="e">
            <v>#NAME?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U3" t="e">
            <v>#NAME?</v>
          </cell>
          <cell r="V3" t="e">
            <v>#NAME?</v>
          </cell>
          <cell r="W3" t="e">
            <v>#NAME?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</row>
        <row r="4">
          <cell r="B4" t="e">
            <v>#NAME?</v>
          </cell>
          <cell r="C4" t="e">
            <v>#NAME?</v>
          </cell>
          <cell r="D4" t="e">
            <v>#NAME?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J4" t="e">
            <v>#NAME?</v>
          </cell>
          <cell r="K4" t="e">
            <v>#NAME?</v>
          </cell>
          <cell r="L4" t="e">
            <v>#NAME?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U4" t="e">
            <v>#NAME?</v>
          </cell>
          <cell r="V4" t="e">
            <v>#NAME?</v>
          </cell>
          <cell r="W4" t="e">
            <v>#NAME?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</row>
        <row r="5">
          <cell r="B5">
            <v>0</v>
          </cell>
          <cell r="C5">
            <v>0</v>
          </cell>
          <cell r="D5">
            <v>0</v>
          </cell>
          <cell r="E5" t="e">
            <v>#NAME?</v>
          </cell>
          <cell r="F5" t="e">
            <v>#NAME?</v>
          </cell>
          <cell r="G5" t="e">
            <v>#NAME?</v>
          </cell>
          <cell r="H5">
            <v>0</v>
          </cell>
          <cell r="J5">
            <v>0</v>
          </cell>
          <cell r="K5">
            <v>0</v>
          </cell>
          <cell r="L5">
            <v>0</v>
          </cell>
          <cell r="M5" t="e">
            <v>#NAME?</v>
          </cell>
          <cell r="N5" t="e">
            <v>#NAME?</v>
          </cell>
          <cell r="O5" t="e">
            <v>#NAME?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U5">
            <v>0</v>
          </cell>
          <cell r="V5">
            <v>0</v>
          </cell>
          <cell r="W5">
            <v>0</v>
          </cell>
          <cell r="X5" t="e">
            <v>#NAME?</v>
          </cell>
          <cell r="Y5" t="e">
            <v>#NAME?</v>
          </cell>
          <cell r="Z5" t="e">
            <v>#NAME?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</row>
        <row r="6">
          <cell r="B6">
            <v>0</v>
          </cell>
          <cell r="C6">
            <v>0</v>
          </cell>
          <cell r="D6">
            <v>0</v>
          </cell>
          <cell r="E6" t="e">
            <v>#NAME?</v>
          </cell>
          <cell r="F6" t="e">
            <v>#NAME?</v>
          </cell>
          <cell r="G6" t="e">
            <v>#NAME?</v>
          </cell>
          <cell r="H6">
            <v>0</v>
          </cell>
          <cell r="J6">
            <v>0</v>
          </cell>
          <cell r="K6">
            <v>0</v>
          </cell>
          <cell r="L6">
            <v>0</v>
          </cell>
          <cell r="M6" t="e">
            <v>#NAME?</v>
          </cell>
          <cell r="N6" t="e">
            <v>#NAME?</v>
          </cell>
          <cell r="O6" t="e">
            <v>#NAME?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U6">
            <v>0</v>
          </cell>
          <cell r="V6">
            <v>0</v>
          </cell>
          <cell r="W6">
            <v>0</v>
          </cell>
          <cell r="X6" t="e">
            <v>#NAME?</v>
          </cell>
          <cell r="Y6" t="e">
            <v>#NAME?</v>
          </cell>
          <cell r="Z6" t="e">
            <v>#NAME?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</row>
        <row r="7">
          <cell r="B7">
            <v>0</v>
          </cell>
          <cell r="C7">
            <v>0</v>
          </cell>
          <cell r="D7">
            <v>0</v>
          </cell>
          <cell r="E7" t="e">
            <v>#NAME?</v>
          </cell>
          <cell r="F7" t="e">
            <v>#NAME?</v>
          </cell>
          <cell r="G7" t="e">
            <v>#NAME?</v>
          </cell>
          <cell r="H7">
            <v>0</v>
          </cell>
          <cell r="J7">
            <v>0</v>
          </cell>
          <cell r="K7">
            <v>0</v>
          </cell>
          <cell r="L7">
            <v>0</v>
          </cell>
          <cell r="M7" t="e">
            <v>#NAME?</v>
          </cell>
          <cell r="N7" t="e">
            <v>#NAME?</v>
          </cell>
          <cell r="O7" t="e">
            <v>#NAME?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U7">
            <v>0</v>
          </cell>
          <cell r="V7">
            <v>0</v>
          </cell>
          <cell r="W7">
            <v>0</v>
          </cell>
          <cell r="X7" t="e">
            <v>#NAME?</v>
          </cell>
          <cell r="Y7" t="e">
            <v>#NAME?</v>
          </cell>
          <cell r="Z7" t="e">
            <v>#NAME?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</row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26.999999999999996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26.999999999999996</v>
          </cell>
          <cell r="Q8">
            <v>0</v>
          </cell>
          <cell r="R8">
            <v>0</v>
          </cell>
          <cell r="S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668.9762799665582</v>
          </cell>
          <cell r="AB8">
            <v>0</v>
          </cell>
          <cell r="AC8">
            <v>0</v>
          </cell>
          <cell r="AD8">
            <v>0</v>
          </cell>
        </row>
        <row r="9"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 t="e">
            <v>#NAME?</v>
          </cell>
          <cell r="R9" t="e">
            <v>#NAME?</v>
          </cell>
          <cell r="S9" t="e">
            <v>#NAME?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 t="e">
            <v>#NAME?</v>
          </cell>
          <cell r="AC9" t="e">
            <v>#NAME?</v>
          </cell>
          <cell r="AD9" t="e">
            <v>#NAME?</v>
          </cell>
        </row>
        <row r="10">
          <cell r="B10" t="e">
            <v>#NAME?</v>
          </cell>
          <cell r="C10" t="e">
            <v>#NAME?</v>
          </cell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 t="e">
            <v>#NAME?</v>
          </cell>
          <cell r="R10" t="e">
            <v>#NAME?</v>
          </cell>
          <cell r="S10" t="e">
            <v>#NAME?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 t="e">
            <v>#NAME?</v>
          </cell>
          <cell r="AC10" t="e">
            <v>#NAME?</v>
          </cell>
          <cell r="AD10" t="e">
            <v>#NAME?</v>
          </cell>
        </row>
        <row r="11">
          <cell r="B11" t="e">
            <v>#NAME?</v>
          </cell>
          <cell r="C11" t="e">
            <v>#NAME?</v>
          </cell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 t="e">
            <v>#NAME?</v>
          </cell>
          <cell r="R11" t="e">
            <v>#NAME?</v>
          </cell>
          <cell r="S11" t="e">
            <v>#NAME?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 t="e">
            <v>#NAME?</v>
          </cell>
          <cell r="AC11" t="e">
            <v>#NAME?</v>
          </cell>
          <cell r="AD11" t="e">
            <v>#NAME?</v>
          </cell>
        </row>
        <row r="12">
          <cell r="B12" t="e">
            <v>#NAME?</v>
          </cell>
          <cell r="C12" t="e">
            <v>#NAME?</v>
          </cell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</row>
        <row r="13">
          <cell r="B13" t="e">
            <v>#NAME?</v>
          </cell>
          <cell r="C13" t="e">
            <v>#NAME?</v>
          </cell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U13" t="e">
            <v>#NAME?</v>
          </cell>
          <cell r="V13" t="e">
            <v>#NAME?</v>
          </cell>
          <cell r="W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C13" t="e">
            <v>#NAME?</v>
          </cell>
          <cell r="AD13" t="e">
            <v>#NAME?</v>
          </cell>
        </row>
        <row r="14">
          <cell r="B14" t="e">
            <v>#NAME?</v>
          </cell>
          <cell r="C14" t="e">
            <v>#NAME?</v>
          </cell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U14" t="e">
            <v>#NAME?</v>
          </cell>
          <cell r="V14" t="e">
            <v>#NAME?</v>
          </cell>
          <cell r="W14" t="e">
            <v>#NAME?</v>
          </cell>
          <cell r="X14" t="e">
            <v>#NAME?</v>
          </cell>
          <cell r="Y14" t="e">
            <v>#NAME?</v>
          </cell>
          <cell r="Z14" t="e">
            <v>#NAME?</v>
          </cell>
          <cell r="AA14" t="e">
            <v>#NAME?</v>
          </cell>
          <cell r="AB14" t="e">
            <v>#NAME?</v>
          </cell>
          <cell r="AC14" t="e">
            <v>#NAME?</v>
          </cell>
          <cell r="AD14" t="e">
            <v>#NAME?</v>
          </cell>
        </row>
        <row r="15">
          <cell r="B15" t="e">
            <v>#NAME?</v>
          </cell>
          <cell r="C15" t="e">
            <v>#NAME?</v>
          </cell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X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D15" t="e">
            <v>#NAME?</v>
          </cell>
        </row>
        <row r="16">
          <cell r="B16" t="e">
            <v>#NAME?</v>
          </cell>
          <cell r="C16" t="e">
            <v>#NAME?</v>
          </cell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U16" t="e">
            <v>#NAME?</v>
          </cell>
          <cell r="V16" t="e">
            <v>#NAME?</v>
          </cell>
          <cell r="W16" t="e">
            <v>#NAME?</v>
          </cell>
          <cell r="X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C16" t="e">
            <v>#NAME?</v>
          </cell>
          <cell r="AD16" t="e">
            <v>#NAME?</v>
          </cell>
        </row>
        <row r="17"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U17" t="e">
            <v>#NAME?</v>
          </cell>
          <cell r="V17" t="e">
            <v>#NAME?</v>
          </cell>
          <cell r="W17" t="e">
            <v>#NAME?</v>
          </cell>
          <cell r="X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C17" t="e">
            <v>#NAME?</v>
          </cell>
          <cell r="AD17" t="e">
            <v>#NAME?</v>
          </cell>
        </row>
        <row r="18"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U18" t="e">
            <v>#NAME?</v>
          </cell>
          <cell r="V18" t="e">
            <v>#NAME?</v>
          </cell>
          <cell r="W18" t="e">
            <v>#NAME?</v>
          </cell>
          <cell r="X18" t="e">
            <v>#NAME?</v>
          </cell>
          <cell r="Y18" t="e">
            <v>#NAME?</v>
          </cell>
          <cell r="Z18" t="e">
            <v>#NAME?</v>
          </cell>
          <cell r="AA18" t="e">
            <v>#NAME?</v>
          </cell>
          <cell r="AB18" t="e">
            <v>#NAME?</v>
          </cell>
          <cell r="AC18" t="e">
            <v>#NAME?</v>
          </cell>
          <cell r="AD18" t="e">
            <v>#NAME?</v>
          </cell>
        </row>
        <row r="19"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U19" t="e">
            <v>#NAME?</v>
          </cell>
          <cell r="V19" t="e">
            <v>#NAME?</v>
          </cell>
          <cell r="W19" t="e">
            <v>#NAME?</v>
          </cell>
          <cell r="X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C19" t="e">
            <v>#NAME?</v>
          </cell>
          <cell r="AD19" t="e">
            <v>#NAME?</v>
          </cell>
        </row>
        <row r="20"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  <cell r="N20" t="e">
            <v>#NAME?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U20" t="e">
            <v>#NAME?</v>
          </cell>
          <cell r="V20" t="e">
            <v>#NAME?</v>
          </cell>
          <cell r="W20" t="e">
            <v>#NAME?</v>
          </cell>
          <cell r="X20" t="e">
            <v>#NAME?</v>
          </cell>
          <cell r="Y20" t="e">
            <v>#NAME?</v>
          </cell>
          <cell r="Z20" t="e">
            <v>#NAME?</v>
          </cell>
          <cell r="AA20" t="e">
            <v>#NAME?</v>
          </cell>
          <cell r="AB20" t="e">
            <v>#NAME?</v>
          </cell>
          <cell r="AC20" t="e">
            <v>#NAME?</v>
          </cell>
          <cell r="AD20" t="e">
            <v>#NAME?</v>
          </cell>
        </row>
        <row r="21"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  <cell r="U21" t="e">
            <v>#NAME?</v>
          </cell>
          <cell r="V21" t="e">
            <v>#NAME?</v>
          </cell>
          <cell r="W21" t="e">
            <v>#NAME?</v>
          </cell>
          <cell r="X21" t="e">
            <v>#NAME?</v>
          </cell>
          <cell r="Y21" t="e">
            <v>#NAME?</v>
          </cell>
          <cell r="Z21" t="e">
            <v>#NAME?</v>
          </cell>
          <cell r="AA21" t="e">
            <v>#NAME?</v>
          </cell>
          <cell r="AB21" t="e">
            <v>#NAME?</v>
          </cell>
          <cell r="AC21" t="e">
            <v>#NAME?</v>
          </cell>
          <cell r="AD21" t="e">
            <v>#NAME?</v>
          </cell>
        </row>
        <row r="22"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  <cell r="U22" t="e">
            <v>#NAME?</v>
          </cell>
          <cell r="V22" t="e">
            <v>#NAME?</v>
          </cell>
          <cell r="W22" t="e">
            <v>#NAME?</v>
          </cell>
          <cell r="X22" t="e">
            <v>#NAME?</v>
          </cell>
          <cell r="Y22" t="e">
            <v>#NAME?</v>
          </cell>
          <cell r="Z22" t="e">
            <v>#NAME?</v>
          </cell>
          <cell r="AA22" t="e">
            <v>#NAME?</v>
          </cell>
          <cell r="AB22" t="e">
            <v>#NAME?</v>
          </cell>
          <cell r="AC22" t="e">
            <v>#NAME?</v>
          </cell>
          <cell r="AD22" t="e">
            <v>#NAME?</v>
          </cell>
        </row>
      </sheetData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3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XRealStats "/>
    </sheetNames>
    <definedNames>
      <definedName name="CHOL"/>
      <definedName name="DIAG"/>
      <definedName name="eigVECTSym"/>
      <definedName name="MSQRT"/>
      <definedName name="PolyCoeff"/>
      <definedName name="PRESS"/>
      <definedName name="PseudoInv"/>
      <definedName name="VIF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Sig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XRealStats-Mac"/>
    </sheetNames>
    <definedNames>
      <definedName name="DIAG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 16.7-1"/>
      <sheetName val="Fig 16.7-4"/>
      <sheetName val="Fig 16.9-1"/>
      <sheetName val="Mean Plots"/>
    </sheetNames>
    <sheetDataSet>
      <sheetData sheetId="0" refreshError="1"/>
      <sheetData sheetId="1">
        <row r="3">
          <cell r="T3">
            <v>0</v>
          </cell>
          <cell r="Y3" t="e">
            <v>#VALUE!</v>
          </cell>
          <cell r="Z3" t="e">
            <v>#VALUE!</v>
          </cell>
          <cell r="AA3" t="e">
            <v>#VALUE!</v>
          </cell>
          <cell r="AB3" t="e">
            <v>#VALUE!</v>
          </cell>
        </row>
        <row r="4">
          <cell r="T4">
            <v>5</v>
          </cell>
          <cell r="Y4" t="e">
            <v>#VALUE!</v>
          </cell>
          <cell r="Z4" t="e">
            <v>#VALUE!</v>
          </cell>
          <cell r="AA4" t="e">
            <v>#VALUE!</v>
          </cell>
          <cell r="AB4" t="e">
            <v>#VALUE!</v>
          </cell>
        </row>
        <row r="5">
          <cell r="T5">
            <v>10</v>
          </cell>
          <cell r="Y5" t="e">
            <v>#VALUE!</v>
          </cell>
          <cell r="Z5" t="e">
            <v>#VALUE!</v>
          </cell>
          <cell r="AA5" t="e">
            <v>#VALUE!</v>
          </cell>
          <cell r="AB5" t="e">
            <v>#VALUE!</v>
          </cell>
        </row>
        <row r="6">
          <cell r="T6">
            <v>15</v>
          </cell>
          <cell r="Y6" t="e">
            <v>#VALUE!</v>
          </cell>
          <cell r="Z6" t="e">
            <v>#VALUE!</v>
          </cell>
          <cell r="AA6" t="e">
            <v>#VALUE!</v>
          </cell>
          <cell r="AB6" t="e">
            <v>#VALUE!</v>
          </cell>
        </row>
        <row r="7">
          <cell r="T7">
            <v>20</v>
          </cell>
          <cell r="Y7" t="e">
            <v>#VALUE!</v>
          </cell>
          <cell r="Z7" t="e">
            <v>#VALUE!</v>
          </cell>
          <cell r="AA7" t="e">
            <v>#VALUE!</v>
          </cell>
          <cell r="AB7" t="e">
            <v>#VALUE!</v>
          </cell>
        </row>
        <row r="8">
          <cell r="T8">
            <v>25</v>
          </cell>
          <cell r="Y8" t="e">
            <v>#VALUE!</v>
          </cell>
          <cell r="Z8" t="e">
            <v>#VALUE!</v>
          </cell>
          <cell r="AA8" t="e">
            <v>#VALUE!</v>
          </cell>
          <cell r="AB8" t="e">
            <v>#VALUE!</v>
          </cell>
        </row>
        <row r="9">
          <cell r="T9">
            <v>30</v>
          </cell>
          <cell r="Y9" t="e">
            <v>#VALUE!</v>
          </cell>
          <cell r="Z9" t="e">
            <v>#VALUE!</v>
          </cell>
          <cell r="AA9" t="e">
            <v>#VALUE!</v>
          </cell>
          <cell r="AB9" t="e">
            <v>#VALUE!</v>
          </cell>
        </row>
        <row r="10">
          <cell r="T10">
            <v>35</v>
          </cell>
          <cell r="Y10" t="e">
            <v>#VALUE!</v>
          </cell>
          <cell r="Z10" t="e">
            <v>#VALUE!</v>
          </cell>
          <cell r="AA10" t="e">
            <v>#VALUE!</v>
          </cell>
          <cell r="AB10" t="e">
            <v>#VALUE!</v>
          </cell>
        </row>
        <row r="11">
          <cell r="T11">
            <v>40</v>
          </cell>
          <cell r="Y11" t="e">
            <v>#VALUE!</v>
          </cell>
          <cell r="Z11" t="e">
            <v>#VALUE!</v>
          </cell>
          <cell r="AA11" t="e">
            <v>#VALUE!</v>
          </cell>
          <cell r="AB11" t="e">
            <v>#VALUE!</v>
          </cell>
        </row>
        <row r="12">
          <cell r="T12">
            <v>45</v>
          </cell>
          <cell r="Y12" t="e">
            <v>#VALUE!</v>
          </cell>
          <cell r="Z12" t="e">
            <v>#VALUE!</v>
          </cell>
          <cell r="AA12" t="e">
            <v>#VALUE!</v>
          </cell>
          <cell r="AB12" t="e">
            <v>#VALUE!</v>
          </cell>
        </row>
        <row r="13">
          <cell r="T13">
            <v>50</v>
          </cell>
          <cell r="Y13" t="e">
            <v>#VALUE!</v>
          </cell>
          <cell r="Z13" t="e">
            <v>#VALUE!</v>
          </cell>
          <cell r="AA13" t="e">
            <v>#VALUE!</v>
          </cell>
          <cell r="AB13" t="e">
            <v>#VALUE!</v>
          </cell>
        </row>
        <row r="14">
          <cell r="T14">
            <v>55</v>
          </cell>
          <cell r="Y14" t="e">
            <v>#VALUE!</v>
          </cell>
          <cell r="Z14" t="e">
            <v>#VALUE!</v>
          </cell>
          <cell r="AA14" t="e">
            <v>#VALUE!</v>
          </cell>
          <cell r="AB14" t="e">
            <v>#VALUE!</v>
          </cell>
        </row>
        <row r="15">
          <cell r="T15">
            <v>60</v>
          </cell>
          <cell r="Y15" t="e">
            <v>#VALUE!</v>
          </cell>
          <cell r="Z15" t="e">
            <v>#VALUE!</v>
          </cell>
          <cell r="AA15" t="e">
            <v>#VALUE!</v>
          </cell>
          <cell r="AB15" t="e">
            <v>#VALUE!</v>
          </cell>
        </row>
        <row r="16">
          <cell r="T16">
            <v>65</v>
          </cell>
          <cell r="Y16" t="e">
            <v>#VALUE!</v>
          </cell>
          <cell r="Z16" t="e">
            <v>#VALUE!</v>
          </cell>
          <cell r="AA16" t="e">
            <v>#VALUE!</v>
          </cell>
          <cell r="AB16" t="e">
            <v>#VALUE!</v>
          </cell>
        </row>
        <row r="17">
          <cell r="T17">
            <v>70</v>
          </cell>
          <cell r="Y17" t="e">
            <v>#VALUE!</v>
          </cell>
          <cell r="Z17" t="e">
            <v>#VALUE!</v>
          </cell>
          <cell r="AA17" t="e">
            <v>#VALUE!</v>
          </cell>
          <cell r="AB17" t="e">
            <v>#VALUE!</v>
          </cell>
        </row>
        <row r="18">
          <cell r="T18">
            <v>75</v>
          </cell>
          <cell r="Y18" t="e">
            <v>#VALUE!</v>
          </cell>
          <cell r="Z18" t="e">
            <v>#VALUE!</v>
          </cell>
          <cell r="AA18" t="e">
            <v>#VALUE!</v>
          </cell>
          <cell r="AB18" t="e">
            <v>#VALUE!</v>
          </cell>
        </row>
        <row r="19">
          <cell r="T19">
            <v>80</v>
          </cell>
          <cell r="Y19" t="e">
            <v>#VALUE!</v>
          </cell>
          <cell r="Z19" t="e">
            <v>#VALUE!</v>
          </cell>
          <cell r="AA19" t="e">
            <v>#VALUE!</v>
          </cell>
          <cell r="AB19" t="e">
            <v>#VALUE!</v>
          </cell>
        </row>
        <row r="20">
          <cell r="T20">
            <v>85</v>
          </cell>
          <cell r="Y20" t="e">
            <v>#VALUE!</v>
          </cell>
          <cell r="Z20" t="e">
            <v>#VALUE!</v>
          </cell>
          <cell r="AA20" t="e">
            <v>#VALUE!</v>
          </cell>
          <cell r="AB20" t="e">
            <v>#VALUE!</v>
          </cell>
        </row>
        <row r="21">
          <cell r="T21">
            <v>90</v>
          </cell>
          <cell r="Y21" t="e">
            <v>#VALUE!</v>
          </cell>
          <cell r="Z21" t="e">
            <v>#VALUE!</v>
          </cell>
          <cell r="AA21" t="e">
            <v>#VALUE!</v>
          </cell>
          <cell r="AB21" t="e">
            <v>#VALUE!</v>
          </cell>
        </row>
        <row r="22">
          <cell r="T22">
            <v>95</v>
          </cell>
          <cell r="Y22" t="e">
            <v>#VALUE!</v>
          </cell>
          <cell r="Z22" t="e">
            <v>#VALUE!</v>
          </cell>
          <cell r="AA22" t="e">
            <v>#VALUE!</v>
          </cell>
          <cell r="AB22" t="e">
            <v>#VALUE!</v>
          </cell>
        </row>
        <row r="23">
          <cell r="T23">
            <v>100</v>
          </cell>
          <cell r="Y23" t="e">
            <v>#VALUE!</v>
          </cell>
          <cell r="Z23" t="e">
            <v>#VALUE!</v>
          </cell>
          <cell r="AA23" t="e">
            <v>#VALUE!</v>
          </cell>
          <cell r="AB23" t="e">
            <v>#VALUE!</v>
          </cell>
        </row>
        <row r="25">
          <cell r="S25">
            <v>0</v>
          </cell>
          <cell r="T25">
            <v>0</v>
          </cell>
        </row>
        <row r="26">
          <cell r="S26">
            <v>0</v>
          </cell>
          <cell r="T26">
            <v>100</v>
          </cell>
        </row>
        <row r="27">
          <cell r="S27">
            <v>49.707142857142863</v>
          </cell>
        </row>
        <row r="28">
          <cell r="S28">
            <v>49.707142857142863</v>
          </cell>
        </row>
      </sheetData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  <sheetName val="XRealStats "/>
    </sheetNames>
    <definedNames>
      <definedName name="DIAG"/>
      <definedName name="NT_DIST"/>
      <definedName name="REG_POWER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ample 16.11-1"/>
    </sheetNames>
    <sheetDataSet>
      <sheetData sheetId="0">
        <row r="3">
          <cell r="Q3" t="e">
            <v>#NAME?</v>
          </cell>
          <cell r="R3" t="e">
            <v>#NAME?</v>
          </cell>
          <cell r="S3" t="e">
            <v>#NAME?</v>
          </cell>
          <cell r="T3" t="e">
            <v>#NAME?</v>
          </cell>
          <cell r="U3" t="e">
            <v>#NAME?</v>
          </cell>
          <cell r="V3" t="e">
            <v>#NAME?</v>
          </cell>
          <cell r="X3">
            <v>1</v>
          </cell>
          <cell r="Y3">
            <v>0</v>
          </cell>
          <cell r="Z3" t="e">
            <v>#NAME?</v>
          </cell>
          <cell r="AA3" t="e">
            <v>#NAME?</v>
          </cell>
        </row>
        <row r="4">
          <cell r="Q4" t="e">
            <v>#NAME?</v>
          </cell>
          <cell r="R4" t="e">
            <v>#NAME?</v>
          </cell>
          <cell r="S4" t="e">
            <v>#NAME?</v>
          </cell>
          <cell r="T4" t="e">
            <v>#NAME?</v>
          </cell>
          <cell r="U4" t="e">
            <v>#NAME?</v>
          </cell>
          <cell r="V4" t="e">
            <v>#NAME?</v>
          </cell>
          <cell r="X4">
            <v>0.96592582628906831</v>
          </cell>
          <cell r="Y4">
            <v>0.25881904510252074</v>
          </cell>
          <cell r="Z4" t="e">
            <v>#NAME?</v>
          </cell>
          <cell r="AA4" t="e">
            <v>#NAME?</v>
          </cell>
        </row>
        <row r="5">
          <cell r="Q5" t="e">
            <v>#NAME?</v>
          </cell>
          <cell r="R5" t="e">
            <v>#NAME?</v>
          </cell>
          <cell r="S5" t="e">
            <v>#NAME?</v>
          </cell>
          <cell r="T5" t="e">
            <v>#NAME?</v>
          </cell>
          <cell r="U5" t="e">
            <v>#NAME?</v>
          </cell>
          <cell r="V5" t="e">
            <v>#NAME?</v>
          </cell>
          <cell r="X5">
            <v>0.86602540378443871</v>
          </cell>
          <cell r="Y5">
            <v>0.49999999999999994</v>
          </cell>
          <cell r="Z5" t="e">
            <v>#NAME?</v>
          </cell>
          <cell r="AA5" t="e">
            <v>#NAME?</v>
          </cell>
        </row>
        <row r="6">
          <cell r="Q6" t="e">
            <v>#NAME?</v>
          </cell>
          <cell r="R6" t="e">
            <v>#NAME?</v>
          </cell>
          <cell r="S6" t="e">
            <v>#NAME?</v>
          </cell>
          <cell r="T6" t="e">
            <v>#NAME?</v>
          </cell>
          <cell r="U6" t="e">
            <v>#NAME?</v>
          </cell>
          <cell r="V6" t="e">
            <v>#NAME?</v>
          </cell>
          <cell r="X6">
            <v>0.70710678118654757</v>
          </cell>
          <cell r="Y6">
            <v>0.70710678118654746</v>
          </cell>
          <cell r="Z6" t="e">
            <v>#NAME?</v>
          </cell>
          <cell r="AA6" t="e">
            <v>#NAME?</v>
          </cell>
        </row>
        <row r="7">
          <cell r="Q7" t="e">
            <v>#NAME?</v>
          </cell>
          <cell r="R7" t="e">
            <v>#NAME?</v>
          </cell>
          <cell r="S7" t="e">
            <v>#NAME?</v>
          </cell>
          <cell r="T7" t="e">
            <v>#NAME?</v>
          </cell>
          <cell r="U7" t="e">
            <v>#NAME?</v>
          </cell>
          <cell r="V7" t="e">
            <v>#NAME?</v>
          </cell>
          <cell r="X7">
            <v>0.50000000000000011</v>
          </cell>
          <cell r="Y7">
            <v>0.8660254037844386</v>
          </cell>
          <cell r="Z7" t="e">
            <v>#NAME?</v>
          </cell>
          <cell r="AA7" t="e">
            <v>#NAME?</v>
          </cell>
        </row>
        <row r="8"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X8">
            <v>0.25881904510252074</v>
          </cell>
          <cell r="Y8">
            <v>0.96592582628906831</v>
          </cell>
          <cell r="Z8" t="e">
            <v>#NAME?</v>
          </cell>
          <cell r="AA8" t="e">
            <v>#NAME?</v>
          </cell>
        </row>
        <row r="9"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X9">
            <v>6.123233995736766E-17</v>
          </cell>
          <cell r="Y9">
            <v>1</v>
          </cell>
          <cell r="Z9" t="e">
            <v>#NAME?</v>
          </cell>
          <cell r="AA9" t="e">
            <v>#NAME?</v>
          </cell>
        </row>
        <row r="10"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  <cell r="V10" t="e">
            <v>#NAME?</v>
          </cell>
          <cell r="X10">
            <v>-0.25881904510252085</v>
          </cell>
          <cell r="Y10">
            <v>0.96592582628906831</v>
          </cell>
          <cell r="Z10" t="e">
            <v>#NAME?</v>
          </cell>
          <cell r="AA10" t="e">
            <v>#NAME?</v>
          </cell>
        </row>
        <row r="11"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X11">
            <v>-0.49999999999999983</v>
          </cell>
          <cell r="Y11">
            <v>0.86602540378443871</v>
          </cell>
          <cell r="Z11" t="e">
            <v>#NAME?</v>
          </cell>
          <cell r="AA11" t="e">
            <v>#NAME?</v>
          </cell>
        </row>
        <row r="12"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>
            <v>-0.70710678118654746</v>
          </cell>
          <cell r="Y12">
            <v>0.70710678118654757</v>
          </cell>
          <cell r="Z12" t="e">
            <v>#NAME?</v>
          </cell>
          <cell r="AA12" t="e">
            <v>#NAME?</v>
          </cell>
        </row>
        <row r="13"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>
            <v>-0.86602540378443871</v>
          </cell>
          <cell r="Y13">
            <v>0.49999999999999994</v>
          </cell>
          <cell r="Z13" t="e">
            <v>#NAME?</v>
          </cell>
          <cell r="AA13" t="e">
            <v>#NAME?</v>
          </cell>
        </row>
        <row r="14"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  <cell r="V14" t="e">
            <v>#NAME?</v>
          </cell>
          <cell r="X14">
            <v>-0.9659258262890682</v>
          </cell>
          <cell r="Y14">
            <v>0.25881904510252102</v>
          </cell>
          <cell r="Z14" t="e">
            <v>#NAME?</v>
          </cell>
          <cell r="AA14" t="e">
            <v>#NAME?</v>
          </cell>
        </row>
        <row r="15"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X15">
            <v>-1</v>
          </cell>
          <cell r="Y15">
            <v>1.2246467991473532E-16</v>
          </cell>
          <cell r="Z15" t="e">
            <v>#NAME?</v>
          </cell>
          <cell r="AA15" t="e">
            <v>#NAME?</v>
          </cell>
        </row>
        <row r="16"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X16">
            <v>-0.96592582628906831</v>
          </cell>
          <cell r="Y16">
            <v>-0.25881904510252079</v>
          </cell>
          <cell r="Z16" t="e">
            <v>#NAME?</v>
          </cell>
          <cell r="AA16" t="e">
            <v>#NAME?</v>
          </cell>
        </row>
        <row r="17"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X17">
            <v>-0.8660254037844386</v>
          </cell>
          <cell r="Y17">
            <v>-0.50000000000000011</v>
          </cell>
          <cell r="Z17" t="e">
            <v>#NAME?</v>
          </cell>
          <cell r="AA17" t="e">
            <v>#NAME?</v>
          </cell>
        </row>
        <row r="18"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  <cell r="V18" t="e">
            <v>#NAME?</v>
          </cell>
          <cell r="X18">
            <v>-0.70710678118654768</v>
          </cell>
          <cell r="Y18">
            <v>-0.70710678118654746</v>
          </cell>
          <cell r="Z18" t="e">
            <v>#NAME?</v>
          </cell>
          <cell r="AA18" t="e">
            <v>#NAME?</v>
          </cell>
        </row>
        <row r="19"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X19">
            <v>-0.50000000000000044</v>
          </cell>
          <cell r="Y19">
            <v>-0.86602540378443837</v>
          </cell>
          <cell r="Z19" t="e">
            <v>#NAME?</v>
          </cell>
          <cell r="AA19" t="e">
            <v>#NAME?</v>
          </cell>
        </row>
        <row r="20"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  <cell r="V20" t="e">
            <v>#NAME?</v>
          </cell>
          <cell r="X20">
            <v>-0.25881904510252063</v>
          </cell>
          <cell r="Y20">
            <v>-0.96592582628906831</v>
          </cell>
          <cell r="Z20" t="e">
            <v>#NAME?</v>
          </cell>
          <cell r="AA20" t="e">
            <v>#NAME?</v>
          </cell>
        </row>
        <row r="21">
          <cell r="Q21" t="e">
            <v>#NAME?</v>
          </cell>
          <cell r="R21" t="e">
            <v>#NAME?</v>
          </cell>
          <cell r="S21" t="e">
            <v>#NAME?</v>
          </cell>
          <cell r="T21" t="e">
            <v>#NAME?</v>
          </cell>
          <cell r="U21" t="e">
            <v>#NAME?</v>
          </cell>
          <cell r="V21" t="e">
            <v>#NAME?</v>
          </cell>
          <cell r="X21">
            <v>-1.8369701987210297E-16</v>
          </cell>
          <cell r="Y21">
            <v>-1</v>
          </cell>
          <cell r="Z21" t="e">
            <v>#NAME?</v>
          </cell>
          <cell r="AA21" t="e">
            <v>#NAME?</v>
          </cell>
        </row>
        <row r="22">
          <cell r="Q22" t="e">
            <v>#NAME?</v>
          </cell>
          <cell r="R22" t="e">
            <v>#NAME?</v>
          </cell>
          <cell r="S22" t="e">
            <v>#NAME?</v>
          </cell>
          <cell r="T22" t="e">
            <v>#NAME?</v>
          </cell>
          <cell r="U22" t="e">
            <v>#NAME?</v>
          </cell>
          <cell r="V22" t="e">
            <v>#NAME?</v>
          </cell>
          <cell r="X22">
            <v>0.2588190451025203</v>
          </cell>
          <cell r="Y22">
            <v>-0.96592582628906842</v>
          </cell>
          <cell r="Z22" t="e">
            <v>#NAME?</v>
          </cell>
          <cell r="AA22" t="e">
            <v>#NAME?</v>
          </cell>
        </row>
        <row r="23"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X23">
            <v>0.50000000000000011</v>
          </cell>
          <cell r="Y23">
            <v>-0.8660254037844386</v>
          </cell>
          <cell r="Z23" t="e">
            <v>#NAME?</v>
          </cell>
          <cell r="AA23" t="e">
            <v>#NAME?</v>
          </cell>
        </row>
        <row r="24"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X24">
            <v>0.70710678118654735</v>
          </cell>
          <cell r="Y24">
            <v>-0.70710678118654768</v>
          </cell>
          <cell r="Z24" t="e">
            <v>#NAME?</v>
          </cell>
          <cell r="AA24" t="e">
            <v>#NAME?</v>
          </cell>
        </row>
        <row r="25"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X25">
            <v>0.86602540378443837</v>
          </cell>
          <cell r="Y25">
            <v>-0.50000000000000044</v>
          </cell>
          <cell r="Z25" t="e">
            <v>#NAME?</v>
          </cell>
          <cell r="AA25" t="e">
            <v>#NAME?</v>
          </cell>
        </row>
        <row r="26">
          <cell r="Q26" t="e">
            <v>#NAME?</v>
          </cell>
          <cell r="R26" t="e">
            <v>#NAME?</v>
          </cell>
          <cell r="S26" t="e">
            <v>#NAME?</v>
          </cell>
          <cell r="T26" t="e">
            <v>#NAME?</v>
          </cell>
          <cell r="U26" t="e">
            <v>#NAME?</v>
          </cell>
          <cell r="V26" t="e">
            <v>#NAME?</v>
          </cell>
          <cell r="X26">
            <v>0.96592582628906831</v>
          </cell>
          <cell r="Y26">
            <v>-0.25881904510252068</v>
          </cell>
          <cell r="Z26" t="e">
            <v>#NAME?</v>
          </cell>
          <cell r="AA26" t="e">
            <v>#NAME?</v>
          </cell>
        </row>
        <row r="27"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X27">
            <v>1</v>
          </cell>
          <cell r="Y27">
            <v>-2.4492935982947064E-16</v>
          </cell>
          <cell r="Z27" t="e">
            <v>#NAME?</v>
          </cell>
          <cell r="AA27" t="e">
            <v>#NAME?</v>
          </cell>
        </row>
        <row r="30"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</row>
        <row r="31"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real-statistics.com/free-download/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6D1AB-EBDE-4A2F-9114-C4B053A332BD}">
  <dimension ref="A1:B19"/>
  <sheetViews>
    <sheetView showGridLines="0" tabSelected="1" workbookViewId="0">
      <selection activeCell="A26" sqref="A26"/>
    </sheetView>
  </sheetViews>
  <sheetFormatPr baseColWidth="10" defaultColWidth="8.83203125" defaultRowHeight="16" x14ac:dyDescent="0.2"/>
  <cols>
    <col min="1" max="1" width="41.83203125" customWidth="1"/>
    <col min="2" max="2" width="36" customWidth="1"/>
  </cols>
  <sheetData>
    <row r="1" spans="1:2" x14ac:dyDescent="0.2">
      <c r="A1" t="s">
        <v>543</v>
      </c>
      <c r="B1" s="1133" t="s">
        <v>542</v>
      </c>
    </row>
    <row r="2" spans="1:2" x14ac:dyDescent="0.2">
      <c r="A2" t="s">
        <v>552</v>
      </c>
    </row>
    <row r="4" spans="1:2" x14ac:dyDescent="0.2">
      <c r="A4" t="s">
        <v>556</v>
      </c>
    </row>
    <row r="5" spans="1:2" x14ac:dyDescent="0.2">
      <c r="A5" t="s">
        <v>545</v>
      </c>
    </row>
    <row r="6" spans="1:2" x14ac:dyDescent="0.2">
      <c r="A6" s="1134" t="s">
        <v>544</v>
      </c>
    </row>
    <row r="7" spans="1:2" x14ac:dyDescent="0.2">
      <c r="A7" s="1134" t="s">
        <v>546</v>
      </c>
    </row>
    <row r="8" spans="1:2" x14ac:dyDescent="0.2">
      <c r="A8" s="1134" t="s">
        <v>550</v>
      </c>
    </row>
    <row r="9" spans="1:2" x14ac:dyDescent="0.2">
      <c r="A9" t="s">
        <v>548</v>
      </c>
      <c r="B9" s="1134" t="s">
        <v>547</v>
      </c>
    </row>
    <row r="10" spans="1:2" x14ac:dyDescent="0.2">
      <c r="A10" t="s">
        <v>549</v>
      </c>
      <c r="B10" s="1134" t="s">
        <v>544</v>
      </c>
    </row>
    <row r="12" spans="1:2" x14ac:dyDescent="0.2">
      <c r="A12" t="s">
        <v>553</v>
      </c>
    </row>
    <row r="13" spans="1:2" x14ac:dyDescent="0.2">
      <c r="A13" s="1134" t="s">
        <v>551</v>
      </c>
    </row>
    <row r="14" spans="1:2" x14ac:dyDescent="0.2">
      <c r="A14" t="s">
        <v>554</v>
      </c>
    </row>
    <row r="15" spans="1:2" x14ac:dyDescent="0.2">
      <c r="A15" t="s">
        <v>555</v>
      </c>
    </row>
    <row r="17" spans="1:1" x14ac:dyDescent="0.2">
      <c r="A17" t="s">
        <v>557</v>
      </c>
    </row>
    <row r="18" spans="1:1" x14ac:dyDescent="0.2">
      <c r="A18" t="s">
        <v>558</v>
      </c>
    </row>
    <row r="19" spans="1:1" x14ac:dyDescent="0.2">
      <c r="A19" t="s">
        <v>559</v>
      </c>
    </row>
  </sheetData>
  <hyperlinks>
    <hyperlink ref="B1" r:id="rId1" xr:uid="{96CC0DA9-41DC-488B-A1BD-E775FB0B8B39}"/>
  </hyperlinks>
  <pageMargins left="0.7" right="0.7" top="0.75" bottom="0.75" header="0.3" footer="0.3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00C98-3194-4267-A4FC-D602B314C589}">
  <dimension ref="A1:L27"/>
  <sheetViews>
    <sheetView zoomScaleNormal="100" workbookViewId="0">
      <selection activeCell="D18" sqref="D18"/>
    </sheetView>
  </sheetViews>
  <sheetFormatPr baseColWidth="10" defaultColWidth="6.83203125" defaultRowHeight="16" x14ac:dyDescent="0.2"/>
  <cols>
    <col min="1" max="3" width="6.83203125" style="1"/>
    <col min="4" max="4" width="8.33203125" style="1" bestFit="1" customWidth="1"/>
    <col min="5" max="6" width="6.83203125" style="1" customWidth="1"/>
    <col min="7" max="7" width="8.33203125" style="1" bestFit="1" customWidth="1"/>
    <col min="8" max="12" width="6.83203125" style="1" customWidth="1"/>
    <col min="13" max="16384" width="6.83203125" style="1"/>
  </cols>
  <sheetData>
    <row r="1" spans="1:12" x14ac:dyDescent="0.2">
      <c r="A1" s="619"/>
      <c r="B1" s="1357" t="s">
        <v>14</v>
      </c>
      <c r="C1" s="1358"/>
      <c r="D1" s="1358"/>
      <c r="E1" s="1358"/>
      <c r="F1" s="1358"/>
      <c r="G1" s="1359"/>
      <c r="H1" s="1357" t="s">
        <v>446</v>
      </c>
      <c r="I1" s="1358"/>
      <c r="J1" s="1359"/>
      <c r="K1" s="1357" t="s">
        <v>445</v>
      </c>
      <c r="L1" s="1359"/>
    </row>
    <row r="2" spans="1:12" ht="19" x14ac:dyDescent="0.25">
      <c r="A2" s="67" t="s">
        <v>10</v>
      </c>
      <c r="B2" s="23" t="s">
        <v>422</v>
      </c>
      <c r="C2" s="7" t="s">
        <v>444</v>
      </c>
      <c r="D2" s="454" t="s">
        <v>443</v>
      </c>
      <c r="E2" s="7" t="s">
        <v>442</v>
      </c>
      <c r="F2" s="464" t="s">
        <v>441</v>
      </c>
      <c r="G2" s="454" t="s">
        <v>440</v>
      </c>
      <c r="H2" s="984" t="s">
        <v>219</v>
      </c>
      <c r="I2" s="983" t="s">
        <v>439</v>
      </c>
      <c r="J2" s="982" t="s">
        <v>438</v>
      </c>
      <c r="K2" s="7" t="s">
        <v>437</v>
      </c>
      <c r="L2" s="981" t="s">
        <v>436</v>
      </c>
    </row>
    <row r="3" spans="1:12" x14ac:dyDescent="0.2">
      <c r="A3" s="554">
        <v>1</v>
      </c>
      <c r="B3" s="39">
        <v>1</v>
      </c>
      <c r="C3" s="717">
        <v>0.17</v>
      </c>
      <c r="D3" s="717">
        <v>-0.84</v>
      </c>
      <c r="E3" s="517">
        <f t="shared" ref="E3:E11" si="0">C3*D3</f>
        <v>-0.14280000000000001</v>
      </c>
      <c r="F3" s="517">
        <f t="shared" ref="F3:F11" si="1">C3^2</f>
        <v>2.8900000000000006E-2</v>
      </c>
      <c r="G3" s="517">
        <f t="shared" ref="G3:G11" si="2">D3^2</f>
        <v>0.70559999999999989</v>
      </c>
      <c r="H3" s="717">
        <v>0.87</v>
      </c>
      <c r="I3" s="743" t="e">
        <f t="array" aca="1" ref="I3:I11" ca="1">a_0+MMULT(x_,α)+[5]!DIAG(MMULT(MMULT(x_,A),TRANSPOSE(x_)))</f>
        <v>#NAME?</v>
      </c>
      <c r="J3" s="714" t="e">
        <f t="array" aca="1" ref="J3" ca="1">a_0+MMULT(u_,TRANSPOSE(β))+[5]!DIAG(MMULT(MMULT(u_,Λ),TRANSPOSE(u_)))</f>
        <v>#NAME?</v>
      </c>
      <c r="K3" s="523" t="e">
        <f t="array" aca="1" ref="K3:L11" ca="1">MMULT(x_,K)</f>
        <v>#NAME?</v>
      </c>
      <c r="L3" s="124" t="e">
        <f ca="1"/>
        <v>#NAME?</v>
      </c>
    </row>
    <row r="4" spans="1:12" x14ac:dyDescent="0.2">
      <c r="A4" s="553">
        <v>2</v>
      </c>
      <c r="B4" s="448">
        <v>1</v>
      </c>
      <c r="C4" s="720">
        <v>-0.44</v>
      </c>
      <c r="D4" s="720">
        <v>0.61</v>
      </c>
      <c r="E4" s="35">
        <f t="shared" si="0"/>
        <v>-0.26839999999999997</v>
      </c>
      <c r="F4" s="35">
        <f t="shared" si="1"/>
        <v>0.19359999999999999</v>
      </c>
      <c r="G4" s="35">
        <f t="shared" si="2"/>
        <v>0.37209999999999999</v>
      </c>
      <c r="H4" s="720">
        <v>1.4</v>
      </c>
      <c r="I4" s="979" t="e">
        <f ca="1"/>
        <v>#NAME?</v>
      </c>
      <c r="J4" s="980" t="e">
        <f t="array" aca="1" ref="J4" ca="1">$B$13+MMULT(β,TRANSPOSE(K4:L4))+MMULT(MMULT(K4:L4,Λ),TRANSPOSE(K4:L4))</f>
        <v>#NAME?</v>
      </c>
      <c r="K4" s="514" t="e">
        <f ca="1"/>
        <v>#NAME?</v>
      </c>
      <c r="L4" s="37" t="e">
        <f ca="1"/>
        <v>#NAME?</v>
      </c>
    </row>
    <row r="5" spans="1:12" x14ac:dyDescent="0.2">
      <c r="A5" s="553">
        <v>3</v>
      </c>
      <c r="B5" s="448">
        <v>1</v>
      </c>
      <c r="C5" s="720">
        <v>-0.5</v>
      </c>
      <c r="D5" s="720">
        <v>0.93</v>
      </c>
      <c r="E5" s="35">
        <f t="shared" si="0"/>
        <v>-0.46500000000000002</v>
      </c>
      <c r="F5" s="35">
        <f t="shared" si="1"/>
        <v>0.25</v>
      </c>
      <c r="G5" s="35">
        <f t="shared" si="2"/>
        <v>0.86490000000000011</v>
      </c>
      <c r="H5" s="720">
        <v>1.8</v>
      </c>
      <c r="I5" s="979" t="e">
        <f ca="1"/>
        <v>#NAME?</v>
      </c>
      <c r="J5" s="980" t="e">
        <f t="array" aca="1" ref="J5" ca="1">$B$13+MMULT(β,TRANSPOSE(K5:L5))+MMULT(MMULT(K5:L5,Λ),TRANSPOSE(K5:L5))</f>
        <v>#NAME?</v>
      </c>
      <c r="K5" s="514" t="e">
        <f ca="1"/>
        <v>#NAME?</v>
      </c>
      <c r="L5" s="37" t="e">
        <f ca="1"/>
        <v>#NAME?</v>
      </c>
    </row>
    <row r="6" spans="1:12" x14ac:dyDescent="0.2">
      <c r="A6" s="553">
        <v>4</v>
      </c>
      <c r="B6" s="448">
        <v>1</v>
      </c>
      <c r="C6" s="720">
        <v>0.84</v>
      </c>
      <c r="D6" s="720">
        <v>0.76</v>
      </c>
      <c r="E6" s="35">
        <f t="shared" si="0"/>
        <v>0.63839999999999997</v>
      </c>
      <c r="F6" s="35">
        <f t="shared" si="1"/>
        <v>0.70559999999999989</v>
      </c>
      <c r="G6" s="35">
        <f t="shared" si="2"/>
        <v>0.5776</v>
      </c>
      <c r="H6" s="720">
        <v>1.36</v>
      </c>
      <c r="I6" s="979" t="e">
        <f ca="1"/>
        <v>#NAME?</v>
      </c>
      <c r="J6" s="980" t="e">
        <f t="array" aca="1" ref="J6" ca="1">$B$13+MMULT(β,TRANSPOSE(K6:L6))+MMULT(MMULT(K6:L6,Λ),TRANSPOSE(K6:L6))</f>
        <v>#NAME?</v>
      </c>
      <c r="K6" s="514" t="e">
        <f ca="1"/>
        <v>#NAME?</v>
      </c>
      <c r="L6" s="37" t="e">
        <f ca="1"/>
        <v>#NAME?</v>
      </c>
    </row>
    <row r="7" spans="1:12" x14ac:dyDescent="0.2">
      <c r="A7" s="553">
        <v>5</v>
      </c>
      <c r="B7" s="448">
        <v>1</v>
      </c>
      <c r="C7" s="720">
        <v>0.54</v>
      </c>
      <c r="D7" s="720">
        <v>-0.15</v>
      </c>
      <c r="E7" s="35">
        <f t="shared" si="0"/>
        <v>-8.1000000000000003E-2</v>
      </c>
      <c r="F7" s="35">
        <f t="shared" si="1"/>
        <v>0.29160000000000003</v>
      </c>
      <c r="G7" s="35">
        <f t="shared" si="2"/>
        <v>2.2499999999999999E-2</v>
      </c>
      <c r="H7" s="720">
        <v>0.51</v>
      </c>
      <c r="I7" s="979" t="e">
        <f ca="1"/>
        <v>#NAME?</v>
      </c>
      <c r="J7" s="980" t="e">
        <f t="array" aca="1" ref="J7" ca="1">$B$13+MMULT(β,TRANSPOSE(K7:L7))+MMULT(MMULT(K7:L7,Λ),TRANSPOSE(K7:L7))</f>
        <v>#NAME?</v>
      </c>
      <c r="K7" s="514" t="e">
        <f ca="1"/>
        <v>#NAME?</v>
      </c>
      <c r="L7" s="37" t="e">
        <f ca="1"/>
        <v>#NAME?</v>
      </c>
    </row>
    <row r="8" spans="1:12" x14ac:dyDescent="0.2">
      <c r="A8" s="553">
        <v>6</v>
      </c>
      <c r="B8" s="448">
        <v>1</v>
      </c>
      <c r="C8" s="720">
        <v>-0.3</v>
      </c>
      <c r="D8" s="720">
        <v>-0.76</v>
      </c>
      <c r="E8" s="35">
        <f t="shared" si="0"/>
        <v>0.22799999999999998</v>
      </c>
      <c r="F8" s="35">
        <f t="shared" si="1"/>
        <v>0.09</v>
      </c>
      <c r="G8" s="35">
        <f t="shared" si="2"/>
        <v>0.5776</v>
      </c>
      <c r="H8" s="720">
        <v>1.0900000000000001</v>
      </c>
      <c r="I8" s="979" t="e">
        <f ca="1"/>
        <v>#NAME?</v>
      </c>
      <c r="J8" s="980" t="e">
        <f t="array" aca="1" ref="J8" ca="1">$B$13+MMULT(β,TRANSPOSE(K8:L8))+MMULT(MMULT(K8:L8,Λ),TRANSPOSE(K8:L8))</f>
        <v>#NAME?</v>
      </c>
      <c r="K8" s="514" t="e">
        <f ca="1"/>
        <v>#NAME?</v>
      </c>
      <c r="L8" s="37" t="e">
        <f ca="1"/>
        <v>#NAME?</v>
      </c>
    </row>
    <row r="9" spans="1:12" x14ac:dyDescent="0.2">
      <c r="A9" s="553">
        <v>7</v>
      </c>
      <c r="B9" s="448">
        <v>1</v>
      </c>
      <c r="C9" s="720">
        <v>0.47</v>
      </c>
      <c r="D9" s="720">
        <v>0.56999999999999995</v>
      </c>
      <c r="E9" s="35">
        <f t="shared" si="0"/>
        <v>0.26789999999999997</v>
      </c>
      <c r="F9" s="35">
        <f t="shared" si="1"/>
        <v>0.22089999999999999</v>
      </c>
      <c r="G9" s="35">
        <f t="shared" si="2"/>
        <v>0.32489999999999997</v>
      </c>
      <c r="H9" s="720">
        <v>1.33</v>
      </c>
      <c r="I9" s="979" t="e">
        <f ca="1"/>
        <v>#NAME?</v>
      </c>
      <c r="J9" s="980" t="e">
        <f t="array" aca="1" ref="J9" ca="1">$B$13+MMULT(β,TRANSPOSE(K9:L9))+MMULT(MMULT(K9:L9,Λ),TRANSPOSE(K9:L9))</f>
        <v>#NAME?</v>
      </c>
      <c r="K9" s="514" t="e">
        <f ca="1"/>
        <v>#NAME?</v>
      </c>
      <c r="L9" s="37" t="e">
        <f ca="1"/>
        <v>#NAME?</v>
      </c>
    </row>
    <row r="10" spans="1:12" x14ac:dyDescent="0.2">
      <c r="A10" s="553">
        <v>8</v>
      </c>
      <c r="B10" s="448">
        <v>1</v>
      </c>
      <c r="C10" s="720">
        <v>-0.75</v>
      </c>
      <c r="D10" s="720">
        <v>-0.32</v>
      </c>
      <c r="E10" s="35">
        <f t="shared" si="0"/>
        <v>0.24</v>
      </c>
      <c r="F10" s="35">
        <f t="shared" si="1"/>
        <v>0.5625</v>
      </c>
      <c r="G10" s="35">
        <f t="shared" si="2"/>
        <v>0.1024</v>
      </c>
      <c r="H10" s="720">
        <v>0.81</v>
      </c>
      <c r="I10" s="979" t="e">
        <f ca="1"/>
        <v>#NAME?</v>
      </c>
      <c r="J10" s="980" t="e">
        <f t="array" aca="1" ref="J10" ca="1">$B$13+MMULT(β,TRANSPOSE(K10:L10))+MMULT(MMULT(K10:L10,Λ),TRANSPOSE(K10:L10))</f>
        <v>#NAME?</v>
      </c>
      <c r="K10" s="514" t="e">
        <f ca="1"/>
        <v>#NAME?</v>
      </c>
      <c r="L10" s="37" t="e">
        <f ca="1"/>
        <v>#NAME?</v>
      </c>
    </row>
    <row r="11" spans="1:12" x14ac:dyDescent="0.2">
      <c r="A11" s="553">
        <v>9</v>
      </c>
      <c r="B11" s="448">
        <v>1</v>
      </c>
      <c r="C11" s="720">
        <v>-0.56999999999999995</v>
      </c>
      <c r="D11" s="720">
        <v>-0.72</v>
      </c>
      <c r="E11" s="35">
        <f t="shared" si="0"/>
        <v>0.41039999999999993</v>
      </c>
      <c r="F11" s="35">
        <f t="shared" si="1"/>
        <v>0.32489999999999997</v>
      </c>
      <c r="G11" s="35">
        <f t="shared" si="2"/>
        <v>0.51839999999999997</v>
      </c>
      <c r="H11" s="720">
        <v>1.07</v>
      </c>
      <c r="I11" s="979" t="e">
        <f ca="1"/>
        <v>#NAME?</v>
      </c>
      <c r="J11" s="520" t="e">
        <f t="array" aca="1" ref="J11" ca="1">$B$13+MMULT(β,TRANSPOSE(K11:L11))+MMULT(MMULT(K11:L11,Λ),TRANSPOSE(K11:L11))</f>
        <v>#NAME?</v>
      </c>
      <c r="K11" s="512" t="e">
        <f ca="1"/>
        <v>#NAME?</v>
      </c>
      <c r="L11" s="66" t="e">
        <f ca="1"/>
        <v>#NAME?</v>
      </c>
    </row>
    <row r="12" spans="1:12" ht="18" x14ac:dyDescent="0.25">
      <c r="A12" s="1357" t="s">
        <v>435</v>
      </c>
      <c r="B12" s="1359"/>
      <c r="C12" s="1369" t="s">
        <v>434</v>
      </c>
      <c r="D12" s="1370"/>
      <c r="E12" s="1357" t="s">
        <v>433</v>
      </c>
      <c r="F12" s="1368"/>
      <c r="G12" s="1369" t="s">
        <v>432</v>
      </c>
      <c r="H12" s="1370"/>
      <c r="I12" s="978" t="s">
        <v>431</v>
      </c>
    </row>
    <row r="13" spans="1:12" ht="18" x14ac:dyDescent="0.25">
      <c r="A13" s="555" t="s">
        <v>430</v>
      </c>
      <c r="B13" s="521" t="e">
        <f t="array" aca="1" ref="B13:B18" ca="1">MMULT([5]!PseudoInv(X),y)</f>
        <v>#NAME?</v>
      </c>
      <c r="C13" s="733" t="e">
        <f ca="1">B14</f>
        <v>#NAME?</v>
      </c>
      <c r="D13" s="712" t="e">
        <f ca="1">B15</f>
        <v>#NAME?</v>
      </c>
      <c r="E13" s="648" t="e">
        <f t="array" aca="1" ref="E13:F15" ca="1">[5]!eigVECTSym(A)</f>
        <v>#NAME?</v>
      </c>
      <c r="F13" s="136" t="e">
        <f ca="1"/>
        <v>#NAME?</v>
      </c>
      <c r="G13" s="456" t="e">
        <f t="array" aca="1" ref="G13:H13" ca="1">MMULT(TRANSPOSE(α),K)</f>
        <v>#NAME?</v>
      </c>
      <c r="H13" s="93" t="e">
        <f ca="1"/>
        <v>#NAME?</v>
      </c>
      <c r="I13" s="977" t="e">
        <f t="array" aca="1" ref="I13" ca="1">MMULT(TRANSPOSE(α),x_S)+MMULT(MMULT(TRANSPOSE(x_S),A),x_S)</f>
        <v>#NAME?</v>
      </c>
    </row>
    <row r="14" spans="1:12" ht="18" x14ac:dyDescent="0.25">
      <c r="A14" s="554" t="s">
        <v>339</v>
      </c>
      <c r="B14" s="517" t="e">
        <f ca="1"/>
        <v>#NAME?</v>
      </c>
      <c r="C14" s="1357" t="s">
        <v>0</v>
      </c>
      <c r="D14" s="1368"/>
      <c r="E14" s="523" t="e">
        <f ca="1"/>
        <v>#NAME?</v>
      </c>
      <c r="F14" s="124" t="e">
        <f ca="1"/>
        <v>#NAME?</v>
      </c>
      <c r="G14" s="1357" t="s">
        <v>429</v>
      </c>
      <c r="H14" s="1368"/>
      <c r="I14" s="524" t="s">
        <v>428</v>
      </c>
    </row>
    <row r="15" spans="1:12" ht="18" x14ac:dyDescent="0.25">
      <c r="A15" s="552" t="s">
        <v>341</v>
      </c>
      <c r="B15" s="64" t="e">
        <f ca="1"/>
        <v>#NAME?</v>
      </c>
      <c r="C15" s="523" t="e">
        <f ca="1">B17</f>
        <v>#NAME?</v>
      </c>
      <c r="D15" s="124" t="e">
        <f ca="1">B16/2</f>
        <v>#NAME?</v>
      </c>
      <c r="E15" s="512" t="e">
        <f ca="1"/>
        <v>#NAME?</v>
      </c>
      <c r="F15" s="66" t="e">
        <f ca="1"/>
        <v>#NAME?</v>
      </c>
      <c r="G15" s="743" t="e">
        <f ca="1">E13</f>
        <v>#NAME?</v>
      </c>
      <c r="H15" s="80">
        <v>0</v>
      </c>
      <c r="I15" s="118" t="e">
        <f t="array" aca="1" ref="I15:I16" ca="1">(-1/2*MMULT(MINVERSE(A),α))</f>
        <v>#NAME?</v>
      </c>
    </row>
    <row r="16" spans="1:12" ht="18" x14ac:dyDescent="0.25">
      <c r="A16" s="555" t="s">
        <v>345</v>
      </c>
      <c r="B16" s="521" t="e">
        <f ca="1"/>
        <v>#NAME?</v>
      </c>
      <c r="C16" s="512" t="e">
        <f ca="1">D15</f>
        <v>#NAME?</v>
      </c>
      <c r="D16" s="66" t="e">
        <f ca="1">B18</f>
        <v>#NAME?</v>
      </c>
      <c r="G16" s="106">
        <v>0</v>
      </c>
      <c r="H16" s="520" t="e">
        <f ca="1">F13</f>
        <v>#NAME?</v>
      </c>
      <c r="I16" s="92" t="e">
        <f ca="1"/>
        <v>#NAME?</v>
      </c>
    </row>
    <row r="17" spans="1:12" ht="18" x14ac:dyDescent="0.25">
      <c r="A17" s="554" t="s">
        <v>427</v>
      </c>
      <c r="B17" s="517" t="e">
        <f ca="1"/>
        <v>#NAME?</v>
      </c>
      <c r="E17" s="36"/>
      <c r="F17" s="36"/>
    </row>
    <row r="18" spans="1:12" ht="18" x14ac:dyDescent="0.25">
      <c r="A18" s="552" t="s">
        <v>426</v>
      </c>
      <c r="B18" s="64" t="e">
        <f ca="1"/>
        <v>#NAME?</v>
      </c>
      <c r="E18" s="36"/>
      <c r="F18" s="36"/>
    </row>
    <row r="19" spans="1:12" x14ac:dyDescent="0.2">
      <c r="B19" s="36"/>
      <c r="C19" s="975"/>
      <c r="D19" s="975"/>
      <c r="E19"/>
      <c r="F19" s="975"/>
      <c r="G19"/>
      <c r="H19" s="975"/>
      <c r="I19" s="975"/>
      <c r="J19" s="975"/>
      <c r="L19"/>
    </row>
    <row r="20" spans="1:12" x14ac:dyDescent="0.2">
      <c r="A20"/>
      <c r="B20" s="976"/>
      <c r="C20" s="975"/>
      <c r="D20" s="975"/>
      <c r="E20"/>
      <c r="F20" s="975"/>
      <c r="H20" s="715"/>
      <c r="I20" s="715"/>
      <c r="J20" s="975"/>
    </row>
    <row r="21" spans="1:12" x14ac:dyDescent="0.2">
      <c r="A21"/>
      <c r="B21" s="976"/>
      <c r="C21" s="975"/>
      <c r="D21" s="975"/>
      <c r="E21"/>
      <c r="F21" s="975"/>
      <c r="H21" s="715"/>
      <c r="I21" s="715"/>
      <c r="J21" s="975"/>
    </row>
    <row r="22" spans="1:12" x14ac:dyDescent="0.2">
      <c r="A22"/>
      <c r="B22" s="976"/>
      <c r="C22" s="975"/>
      <c r="D22" s="975"/>
      <c r="E22"/>
      <c r="F22" s="975"/>
      <c r="H22" s="715"/>
      <c r="I22" s="715"/>
      <c r="J22" s="975"/>
    </row>
    <row r="23" spans="1:12" x14ac:dyDescent="0.2">
      <c r="B23" s="976"/>
      <c r="C23" s="975"/>
      <c r="D23" s="975"/>
      <c r="F23" s="975"/>
      <c r="H23" s="715"/>
      <c r="I23" s="715"/>
      <c r="J23" s="975"/>
    </row>
    <row r="24" spans="1:12" x14ac:dyDescent="0.2">
      <c r="B24" s="976"/>
      <c r="C24" s="975"/>
      <c r="D24" s="975"/>
      <c r="F24" s="975"/>
      <c r="H24" s="715"/>
      <c r="I24" s="715"/>
      <c r="J24" s="975"/>
    </row>
    <row r="25" spans="1:12" x14ac:dyDescent="0.2">
      <c r="B25" s="976"/>
      <c r="C25" s="975"/>
      <c r="D25" s="975"/>
      <c r="F25" s="975"/>
      <c r="H25" s="715"/>
      <c r="I25" s="715"/>
      <c r="J25" s="975"/>
    </row>
    <row r="26" spans="1:12" x14ac:dyDescent="0.2">
      <c r="B26" s="976"/>
      <c r="C26" s="975"/>
      <c r="D26" s="975"/>
      <c r="F26" s="975"/>
      <c r="H26" s="715"/>
      <c r="I26" s="715"/>
      <c r="J26" s="975"/>
    </row>
    <row r="27" spans="1:12" x14ac:dyDescent="0.2">
      <c r="B27" s="976"/>
      <c r="C27" s="975"/>
      <c r="D27" s="975"/>
      <c r="F27" s="975"/>
      <c r="H27" s="715"/>
      <c r="I27" s="715"/>
      <c r="J27" s="975"/>
    </row>
  </sheetData>
  <mergeCells count="9">
    <mergeCell ref="K1:L1"/>
    <mergeCell ref="H1:J1"/>
    <mergeCell ref="C14:D14"/>
    <mergeCell ref="E12:F12"/>
    <mergeCell ref="G12:H12"/>
    <mergeCell ref="G14:H14"/>
    <mergeCell ref="B1:G1"/>
    <mergeCell ref="A12:B12"/>
    <mergeCell ref="C12:D12"/>
  </mergeCells>
  <pageMargins left="0.7" right="0.7" top="0.75" bottom="0.75" header="0.3" footer="0.3"/>
  <pageSetup orientation="portrait" horizontalDpi="0" verticalDpi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5E586-CFA7-47AC-A93B-2AB43D1931D1}">
  <dimension ref="A1:AB23"/>
  <sheetViews>
    <sheetView zoomScaleNormal="100" workbookViewId="0">
      <selection activeCell="L13" sqref="L13"/>
    </sheetView>
  </sheetViews>
  <sheetFormatPr baseColWidth="10" defaultColWidth="6.83203125" defaultRowHeight="16" x14ac:dyDescent="0.2"/>
  <cols>
    <col min="1" max="1" width="6.83203125" style="1"/>
    <col min="2" max="5" width="7" style="1" bestFit="1" customWidth="1"/>
    <col min="6" max="6" width="7.1640625" style="1" bestFit="1" customWidth="1"/>
    <col min="7" max="11" width="6.83203125" style="1" customWidth="1"/>
    <col min="12" max="12" width="6.83203125" style="1"/>
    <col min="13" max="16" width="6.83203125" style="1" customWidth="1"/>
    <col min="17" max="17" width="6.83203125" style="1"/>
    <col min="18" max="28" width="4.83203125" style="1" customWidth="1"/>
    <col min="29" max="16384" width="6.83203125" style="1"/>
  </cols>
  <sheetData>
    <row r="1" spans="1:28" x14ac:dyDescent="0.2">
      <c r="A1" s="461"/>
      <c r="B1" s="1371" t="s">
        <v>14</v>
      </c>
      <c r="C1" s="1372"/>
      <c r="D1" s="1372"/>
      <c r="E1" s="1372"/>
      <c r="F1" s="1373"/>
      <c r="G1" s="1374" t="s">
        <v>423</v>
      </c>
      <c r="H1" s="1372"/>
      <c r="I1" s="1372"/>
      <c r="J1" s="1372"/>
      <c r="K1" s="1373"/>
      <c r="L1"/>
      <c r="M1"/>
      <c r="N1"/>
      <c r="O1"/>
    </row>
    <row r="2" spans="1:28" ht="19" x14ac:dyDescent="0.25">
      <c r="A2" s="524" t="s">
        <v>10</v>
      </c>
      <c r="B2" s="7" t="s">
        <v>422</v>
      </c>
      <c r="C2" s="464" t="s">
        <v>421</v>
      </c>
      <c r="D2" s="464" t="s">
        <v>420</v>
      </c>
      <c r="E2" s="464" t="s">
        <v>419</v>
      </c>
      <c r="F2" s="454" t="s">
        <v>418</v>
      </c>
      <c r="G2" s="464" t="s">
        <v>417</v>
      </c>
      <c r="H2" s="464" t="s">
        <v>416</v>
      </c>
      <c r="I2" s="464" t="s">
        <v>415</v>
      </c>
      <c r="J2" s="464" t="s">
        <v>414</v>
      </c>
      <c r="K2" s="464" t="s">
        <v>413</v>
      </c>
      <c r="L2" s="524" t="s">
        <v>219</v>
      </c>
      <c r="M2" s="524" t="s">
        <v>397</v>
      </c>
      <c r="N2" s="524" t="s">
        <v>412</v>
      </c>
      <c r="O2" s="524" t="s">
        <v>411</v>
      </c>
      <c r="W2" s="511" t="s">
        <v>410</v>
      </c>
      <c r="X2" s="511" t="s">
        <v>409</v>
      </c>
      <c r="Y2" s="511" t="s">
        <v>408</v>
      </c>
      <c r="Z2" s="511" t="s">
        <v>407</v>
      </c>
      <c r="AA2" s="511" t="s">
        <v>406</v>
      </c>
    </row>
    <row r="3" spans="1:28" x14ac:dyDescent="0.2">
      <c r="A3" s="130">
        <v>1</v>
      </c>
      <c r="B3" s="81">
        <v>1</v>
      </c>
      <c r="C3" s="88">
        <v>-4</v>
      </c>
      <c r="D3" s="88">
        <f t="shared" ref="D3:D11" si="0">C3^2</f>
        <v>16</v>
      </c>
      <c r="E3" s="88">
        <f t="shared" ref="E3:E11" si="1">C3^3</f>
        <v>-64</v>
      </c>
      <c r="F3" s="80">
        <f t="shared" ref="F3:F11" si="2">C3^4</f>
        <v>256</v>
      </c>
      <c r="G3" s="88" t="e">
        <f t="array" aca="1" ref="G3:K11" ca="1">MMULT(X,MINVERSE(TRANSPOSE(L)))</f>
        <v>#NAME?</v>
      </c>
      <c r="H3" s="88" t="e">
        <f ca="1"/>
        <v>#NAME?</v>
      </c>
      <c r="I3" s="88" t="e">
        <f ca="1"/>
        <v>#NAME?</v>
      </c>
      <c r="J3" s="88" t="e">
        <f ca="1"/>
        <v>#NAME?</v>
      </c>
      <c r="K3" s="80" t="e">
        <f ca="1"/>
        <v>#NAME?</v>
      </c>
      <c r="L3" s="517">
        <f t="shared" ref="L3:L11" si="3">SIN(C3)+(C3^2)/2-5+COS(C3)</f>
        <v>3.1031588744443166</v>
      </c>
      <c r="M3" s="517" t="e">
        <f t="array" aca="1" ref="M3:M11" ca="1">MMULT(X,a)</f>
        <v>#NAME?</v>
      </c>
      <c r="N3" s="517" t="e">
        <f t="array" aca="1" ref="N3:N11" ca="1">MMULT(W,b)</f>
        <v>#NAME?</v>
      </c>
      <c r="O3" s="517" t="e">
        <f t="shared" ref="O3:O11" ca="1" si="4">L3-M3</f>
        <v>#NAME?</v>
      </c>
      <c r="R3" s="81">
        <v>1</v>
      </c>
      <c r="S3" s="88">
        <v>-4</v>
      </c>
      <c r="T3" s="88">
        <f t="shared" ref="T3:T23" si="5">S3^2</f>
        <v>16</v>
      </c>
      <c r="U3" s="88">
        <f t="shared" ref="U3:U23" si="6">S3^3</f>
        <v>-64</v>
      </c>
      <c r="V3" s="80">
        <f t="shared" ref="V3:V23" si="7">S3^4</f>
        <v>256</v>
      </c>
      <c r="W3" s="81" t="e">
        <f t="array" aca="1" ref="W3:AA23" ca="1">MMULT(R3:V23,G19:K23)</f>
        <v>#NAME?</v>
      </c>
      <c r="X3" s="88" t="e">
        <f ca="1"/>
        <v>#NAME?</v>
      </c>
      <c r="Y3" s="88" t="e">
        <f ca="1"/>
        <v>#NAME?</v>
      </c>
      <c r="Z3" s="88" t="e">
        <f ca="1"/>
        <v>#NAME?</v>
      </c>
      <c r="AA3" s="80" t="e">
        <f ca="1"/>
        <v>#NAME?</v>
      </c>
      <c r="AB3" s="1" t="e">
        <f t="array" aca="1" ref="AB3:AB23" ca="1">MMULT(R3:V23,a)</f>
        <v>#NAME?</v>
      </c>
    </row>
    <row r="4" spans="1:28" x14ac:dyDescent="0.2">
      <c r="A4" s="623">
        <v>2</v>
      </c>
      <c r="B4" s="455">
        <v>1</v>
      </c>
      <c r="C4" s="1">
        <v>-3</v>
      </c>
      <c r="D4" s="1">
        <f t="shared" si="0"/>
        <v>9</v>
      </c>
      <c r="E4" s="1">
        <f t="shared" si="1"/>
        <v>-27</v>
      </c>
      <c r="F4" s="90">
        <f t="shared" si="2"/>
        <v>81</v>
      </c>
      <c r="G4" s="1" t="e">
        <f ca="1"/>
        <v>#NAME?</v>
      </c>
      <c r="H4" s="1" t="e">
        <f ca="1"/>
        <v>#NAME?</v>
      </c>
      <c r="I4" s="1" t="e">
        <f ca="1"/>
        <v>#NAME?</v>
      </c>
      <c r="J4" s="1" t="e">
        <f ca="1"/>
        <v>#NAME?</v>
      </c>
      <c r="K4" s="90" t="e">
        <f ca="1"/>
        <v>#NAME?</v>
      </c>
      <c r="L4" s="35">
        <f t="shared" si="3"/>
        <v>-1.6311125046603128</v>
      </c>
      <c r="M4" s="35" t="e">
        <f ca="1"/>
        <v>#NAME?</v>
      </c>
      <c r="N4" s="35" t="e">
        <f ca="1"/>
        <v>#NAME?</v>
      </c>
      <c r="O4" s="35" t="e">
        <f t="shared" ca="1" si="4"/>
        <v>#NAME?</v>
      </c>
      <c r="R4" s="455">
        <v>1</v>
      </c>
      <c r="S4" s="1">
        <f t="shared" ref="S4:S23" si="8">S3+8/20</f>
        <v>-3.6</v>
      </c>
      <c r="T4" s="1">
        <f t="shared" si="5"/>
        <v>12.96</v>
      </c>
      <c r="U4" s="1">
        <f t="shared" si="6"/>
        <v>-46.656000000000006</v>
      </c>
      <c r="V4" s="90">
        <f t="shared" si="7"/>
        <v>167.96160000000003</v>
      </c>
      <c r="W4" s="455" t="e">
        <f ca="1"/>
        <v>#NAME?</v>
      </c>
      <c r="X4" s="1" t="e">
        <f ca="1"/>
        <v>#NAME?</v>
      </c>
      <c r="Y4" s="1" t="e">
        <f ca="1"/>
        <v>#NAME?</v>
      </c>
      <c r="Z4" s="1" t="e">
        <f ca="1"/>
        <v>#NAME?</v>
      </c>
      <c r="AA4" s="90" t="e">
        <f ca="1"/>
        <v>#NAME?</v>
      </c>
      <c r="AB4" s="1" t="e">
        <f ca="1"/>
        <v>#NAME?</v>
      </c>
    </row>
    <row r="5" spans="1:28" x14ac:dyDescent="0.2">
      <c r="A5" s="623">
        <v>3</v>
      </c>
      <c r="B5" s="455">
        <v>1</v>
      </c>
      <c r="C5" s="1">
        <v>-2</v>
      </c>
      <c r="D5" s="1">
        <f t="shared" si="0"/>
        <v>4</v>
      </c>
      <c r="E5" s="1">
        <f t="shared" si="1"/>
        <v>-8</v>
      </c>
      <c r="F5" s="90">
        <f t="shared" si="2"/>
        <v>16</v>
      </c>
      <c r="G5" s="1" t="e">
        <f ca="1"/>
        <v>#NAME?</v>
      </c>
      <c r="H5" s="1" t="e">
        <f ca="1"/>
        <v>#NAME?</v>
      </c>
      <c r="I5" s="1" t="e">
        <f ca="1"/>
        <v>#NAME?</v>
      </c>
      <c r="J5" s="1" t="e">
        <f ca="1"/>
        <v>#NAME?</v>
      </c>
      <c r="K5" s="90" t="e">
        <f ca="1"/>
        <v>#NAME?</v>
      </c>
      <c r="L5" s="35">
        <f t="shared" si="3"/>
        <v>-4.3254442633728241</v>
      </c>
      <c r="M5" s="35" t="e">
        <f ca="1"/>
        <v>#NAME?</v>
      </c>
      <c r="N5" s="35" t="e">
        <f ca="1"/>
        <v>#NAME?</v>
      </c>
      <c r="O5" s="35" t="e">
        <f t="shared" ca="1" si="4"/>
        <v>#NAME?</v>
      </c>
      <c r="R5" s="455">
        <v>1</v>
      </c>
      <c r="S5" s="1">
        <f t="shared" si="8"/>
        <v>-3.2</v>
      </c>
      <c r="T5" s="1">
        <f t="shared" si="5"/>
        <v>10.240000000000002</v>
      </c>
      <c r="U5" s="1">
        <f t="shared" si="6"/>
        <v>-32.768000000000008</v>
      </c>
      <c r="V5" s="90">
        <f t="shared" si="7"/>
        <v>104.85760000000005</v>
      </c>
      <c r="W5" s="455" t="e">
        <f ca="1"/>
        <v>#NAME?</v>
      </c>
      <c r="X5" s="1" t="e">
        <f ca="1"/>
        <v>#NAME?</v>
      </c>
      <c r="Y5" s="1" t="e">
        <f ca="1"/>
        <v>#NAME?</v>
      </c>
      <c r="Z5" s="1" t="e">
        <f ca="1"/>
        <v>#NAME?</v>
      </c>
      <c r="AA5" s="90" t="e">
        <f ca="1"/>
        <v>#NAME?</v>
      </c>
      <c r="AB5" s="1" t="e">
        <f ca="1"/>
        <v>#NAME?</v>
      </c>
    </row>
    <row r="6" spans="1:28" x14ac:dyDescent="0.2">
      <c r="A6" s="623">
        <v>4</v>
      </c>
      <c r="B6" s="455">
        <v>1</v>
      </c>
      <c r="C6" s="1">
        <v>-1</v>
      </c>
      <c r="D6" s="1">
        <f t="shared" si="0"/>
        <v>1</v>
      </c>
      <c r="E6" s="1">
        <f t="shared" si="1"/>
        <v>-1</v>
      </c>
      <c r="F6" s="90">
        <f t="shared" si="2"/>
        <v>1</v>
      </c>
      <c r="G6" s="1" t="e">
        <f ca="1"/>
        <v>#NAME?</v>
      </c>
      <c r="H6" s="1" t="e">
        <f ca="1"/>
        <v>#NAME?</v>
      </c>
      <c r="I6" s="1" t="e">
        <f ca="1"/>
        <v>#NAME?</v>
      </c>
      <c r="J6" s="1" t="e">
        <f ca="1"/>
        <v>#NAME?</v>
      </c>
      <c r="K6" s="90" t="e">
        <f ca="1"/>
        <v>#NAME?</v>
      </c>
      <c r="L6" s="35">
        <f t="shared" si="3"/>
        <v>-4.8011686789397565</v>
      </c>
      <c r="M6" s="35" t="e">
        <f ca="1"/>
        <v>#NAME?</v>
      </c>
      <c r="N6" s="35" t="e">
        <f ca="1"/>
        <v>#NAME?</v>
      </c>
      <c r="O6" s="35" t="e">
        <f t="shared" ca="1" si="4"/>
        <v>#NAME?</v>
      </c>
      <c r="R6" s="455">
        <v>1</v>
      </c>
      <c r="S6" s="1">
        <f t="shared" si="8"/>
        <v>-2.8000000000000003</v>
      </c>
      <c r="T6" s="1">
        <f t="shared" si="5"/>
        <v>7.8400000000000016</v>
      </c>
      <c r="U6" s="1">
        <f t="shared" si="6"/>
        <v>-21.952000000000005</v>
      </c>
      <c r="V6" s="90">
        <f t="shared" si="7"/>
        <v>61.465600000000023</v>
      </c>
      <c r="W6" s="455" t="e">
        <f ca="1"/>
        <v>#NAME?</v>
      </c>
      <c r="X6" s="1" t="e">
        <f ca="1"/>
        <v>#NAME?</v>
      </c>
      <c r="Y6" s="1" t="e">
        <f ca="1"/>
        <v>#NAME?</v>
      </c>
      <c r="Z6" s="1" t="e">
        <f ca="1"/>
        <v>#NAME?</v>
      </c>
      <c r="AA6" s="90" t="e">
        <f ca="1"/>
        <v>#NAME?</v>
      </c>
      <c r="AB6" s="1" t="e">
        <f ca="1"/>
        <v>#NAME?</v>
      </c>
    </row>
    <row r="7" spans="1:28" x14ac:dyDescent="0.2">
      <c r="A7" s="623">
        <v>5</v>
      </c>
      <c r="B7" s="455">
        <v>1</v>
      </c>
      <c r="C7" s="1">
        <v>0</v>
      </c>
      <c r="D7" s="1">
        <f t="shared" si="0"/>
        <v>0</v>
      </c>
      <c r="E7" s="1">
        <f t="shared" si="1"/>
        <v>0</v>
      </c>
      <c r="F7" s="90">
        <f t="shared" si="2"/>
        <v>0</v>
      </c>
      <c r="G7" s="1" t="e">
        <f ca="1"/>
        <v>#NAME?</v>
      </c>
      <c r="H7" s="1" t="e">
        <f ca="1"/>
        <v>#NAME?</v>
      </c>
      <c r="I7" s="1" t="e">
        <f ca="1"/>
        <v>#NAME?</v>
      </c>
      <c r="J7" s="1" t="e">
        <f ca="1"/>
        <v>#NAME?</v>
      </c>
      <c r="K7" s="90" t="e">
        <f ca="1"/>
        <v>#NAME?</v>
      </c>
      <c r="L7" s="35">
        <f t="shared" si="3"/>
        <v>-4</v>
      </c>
      <c r="M7" s="35" t="e">
        <f ca="1"/>
        <v>#NAME?</v>
      </c>
      <c r="N7" s="35" t="e">
        <f ca="1"/>
        <v>#NAME?</v>
      </c>
      <c r="O7" s="35" t="e">
        <f t="shared" ca="1" si="4"/>
        <v>#NAME?</v>
      </c>
      <c r="R7" s="455">
        <v>1</v>
      </c>
      <c r="S7" s="1">
        <f t="shared" si="8"/>
        <v>-2.4000000000000004</v>
      </c>
      <c r="T7" s="1">
        <f t="shared" si="5"/>
        <v>5.7600000000000016</v>
      </c>
      <c r="U7" s="1">
        <f t="shared" si="6"/>
        <v>-13.824000000000005</v>
      </c>
      <c r="V7" s="90">
        <f t="shared" si="7"/>
        <v>33.17760000000002</v>
      </c>
      <c r="W7" s="455" t="e">
        <f ca="1"/>
        <v>#NAME?</v>
      </c>
      <c r="X7" s="1" t="e">
        <f ca="1"/>
        <v>#NAME?</v>
      </c>
      <c r="Y7" s="1" t="e">
        <f ca="1"/>
        <v>#NAME?</v>
      </c>
      <c r="Z7" s="1" t="e">
        <f ca="1"/>
        <v>#NAME?</v>
      </c>
      <c r="AA7" s="90" t="e">
        <f ca="1"/>
        <v>#NAME?</v>
      </c>
      <c r="AB7" s="1" t="e">
        <f ca="1"/>
        <v>#NAME?</v>
      </c>
    </row>
    <row r="8" spans="1:28" x14ac:dyDescent="0.2">
      <c r="A8" s="623">
        <v>6</v>
      </c>
      <c r="B8" s="455">
        <v>1</v>
      </c>
      <c r="C8" s="1">
        <v>1</v>
      </c>
      <c r="D8" s="1">
        <f t="shared" si="0"/>
        <v>1</v>
      </c>
      <c r="E8" s="1">
        <f t="shared" si="1"/>
        <v>1</v>
      </c>
      <c r="F8" s="90">
        <f t="shared" si="2"/>
        <v>1</v>
      </c>
      <c r="G8" s="1" t="e">
        <f ca="1"/>
        <v>#NAME?</v>
      </c>
      <c r="H8" s="1" t="e">
        <f ca="1"/>
        <v>#NAME?</v>
      </c>
      <c r="I8" s="1" t="e">
        <f ca="1"/>
        <v>#NAME?</v>
      </c>
      <c r="J8" s="1" t="e">
        <f ca="1"/>
        <v>#NAME?</v>
      </c>
      <c r="K8" s="90" t="e">
        <f ca="1"/>
        <v>#NAME?</v>
      </c>
      <c r="L8" s="35">
        <f t="shared" si="3"/>
        <v>-3.1182267093239635</v>
      </c>
      <c r="M8" s="35" t="e">
        <f ca="1"/>
        <v>#NAME?</v>
      </c>
      <c r="N8" s="35" t="e">
        <f ca="1"/>
        <v>#NAME?</v>
      </c>
      <c r="O8" s="35" t="e">
        <f t="shared" ca="1" si="4"/>
        <v>#NAME?</v>
      </c>
      <c r="R8" s="455">
        <v>1</v>
      </c>
      <c r="S8" s="1">
        <f t="shared" si="8"/>
        <v>-2.0000000000000004</v>
      </c>
      <c r="T8" s="1">
        <f t="shared" si="5"/>
        <v>4.0000000000000018</v>
      </c>
      <c r="U8" s="1">
        <f t="shared" si="6"/>
        <v>-8.0000000000000053</v>
      </c>
      <c r="V8" s="90">
        <f t="shared" si="7"/>
        <v>16.000000000000014</v>
      </c>
      <c r="W8" s="455" t="e">
        <f ca="1"/>
        <v>#NAME?</v>
      </c>
      <c r="X8" s="1" t="e">
        <f ca="1"/>
        <v>#NAME?</v>
      </c>
      <c r="Y8" s="1" t="e">
        <f ca="1"/>
        <v>#NAME?</v>
      </c>
      <c r="Z8" s="1" t="e">
        <f ca="1"/>
        <v>#NAME?</v>
      </c>
      <c r="AA8" s="90" t="e">
        <f ca="1"/>
        <v>#NAME?</v>
      </c>
      <c r="AB8" s="1" t="e">
        <f ca="1"/>
        <v>#NAME?</v>
      </c>
    </row>
    <row r="9" spans="1:28" x14ac:dyDescent="0.2">
      <c r="A9" s="623">
        <v>7</v>
      </c>
      <c r="B9" s="455">
        <v>1</v>
      </c>
      <c r="C9" s="1">
        <v>2</v>
      </c>
      <c r="D9" s="1">
        <f t="shared" si="0"/>
        <v>4</v>
      </c>
      <c r="E9" s="1">
        <f t="shared" si="1"/>
        <v>8</v>
      </c>
      <c r="F9" s="90">
        <f t="shared" si="2"/>
        <v>16</v>
      </c>
      <c r="G9" s="1" t="e">
        <f ca="1"/>
        <v>#NAME?</v>
      </c>
      <c r="H9" s="1" t="e">
        <f ca="1"/>
        <v>#NAME?</v>
      </c>
      <c r="I9" s="1" t="e">
        <f ca="1"/>
        <v>#NAME?</v>
      </c>
      <c r="J9" s="1" t="e">
        <f ca="1"/>
        <v>#NAME?</v>
      </c>
      <c r="K9" s="90" t="e">
        <f ca="1"/>
        <v>#NAME?</v>
      </c>
      <c r="L9" s="35">
        <f t="shared" si="3"/>
        <v>-2.5068494097214606</v>
      </c>
      <c r="M9" s="35" t="e">
        <f ca="1"/>
        <v>#NAME?</v>
      </c>
      <c r="N9" s="35" t="e">
        <f ca="1"/>
        <v>#NAME?</v>
      </c>
      <c r="O9" s="35" t="e">
        <f t="shared" ca="1" si="4"/>
        <v>#NAME?</v>
      </c>
      <c r="R9" s="455">
        <v>1</v>
      </c>
      <c r="S9" s="1">
        <f t="shared" si="8"/>
        <v>-1.6000000000000005</v>
      </c>
      <c r="T9" s="1">
        <f t="shared" si="5"/>
        <v>2.5600000000000018</v>
      </c>
      <c r="U9" s="1">
        <f t="shared" si="6"/>
        <v>-4.0960000000000045</v>
      </c>
      <c r="V9" s="90">
        <f t="shared" si="7"/>
        <v>6.5536000000000092</v>
      </c>
      <c r="W9" s="455" t="e">
        <f ca="1"/>
        <v>#NAME?</v>
      </c>
      <c r="X9" s="1" t="e">
        <f ca="1"/>
        <v>#NAME?</v>
      </c>
      <c r="Y9" s="1" t="e">
        <f ca="1"/>
        <v>#NAME?</v>
      </c>
      <c r="Z9" s="1" t="e">
        <f ca="1"/>
        <v>#NAME?</v>
      </c>
      <c r="AA9" s="90" t="e">
        <f ca="1"/>
        <v>#NAME?</v>
      </c>
      <c r="AB9" s="1" t="e">
        <f ca="1"/>
        <v>#NAME?</v>
      </c>
    </row>
    <row r="10" spans="1:28" x14ac:dyDescent="0.2">
      <c r="A10" s="623">
        <v>8</v>
      </c>
      <c r="B10" s="455">
        <v>1</v>
      </c>
      <c r="C10" s="1">
        <v>3</v>
      </c>
      <c r="D10" s="1">
        <f t="shared" si="0"/>
        <v>9</v>
      </c>
      <c r="E10" s="1">
        <f t="shared" si="1"/>
        <v>27</v>
      </c>
      <c r="F10" s="90">
        <f t="shared" si="2"/>
        <v>81</v>
      </c>
      <c r="G10" s="1" t="e">
        <f ca="1"/>
        <v>#NAME?</v>
      </c>
      <c r="H10" s="1" t="e">
        <f ca="1"/>
        <v>#NAME?</v>
      </c>
      <c r="I10" s="1" t="e">
        <f ca="1"/>
        <v>#NAME?</v>
      </c>
      <c r="J10" s="1" t="e">
        <f ca="1"/>
        <v>#NAME?</v>
      </c>
      <c r="K10" s="90" t="e">
        <f ca="1"/>
        <v>#NAME?</v>
      </c>
      <c r="L10" s="35">
        <f t="shared" si="3"/>
        <v>-1.3488724885405781</v>
      </c>
      <c r="M10" s="35" t="e">
        <f ca="1"/>
        <v>#NAME?</v>
      </c>
      <c r="N10" s="35" t="e">
        <f ca="1"/>
        <v>#NAME?</v>
      </c>
      <c r="O10" s="35" t="e">
        <f t="shared" ca="1" si="4"/>
        <v>#NAME?</v>
      </c>
      <c r="R10" s="455">
        <v>1</v>
      </c>
      <c r="S10" s="1">
        <f t="shared" si="8"/>
        <v>-1.2000000000000006</v>
      </c>
      <c r="T10" s="1">
        <f t="shared" si="5"/>
        <v>1.4400000000000015</v>
      </c>
      <c r="U10" s="1">
        <f t="shared" si="6"/>
        <v>-1.7280000000000026</v>
      </c>
      <c r="V10" s="90">
        <f t="shared" si="7"/>
        <v>2.0736000000000043</v>
      </c>
      <c r="W10" s="455" t="e">
        <f ca="1"/>
        <v>#NAME?</v>
      </c>
      <c r="X10" s="1" t="e">
        <f ca="1"/>
        <v>#NAME?</v>
      </c>
      <c r="Y10" s="1" t="e">
        <f ca="1"/>
        <v>#NAME?</v>
      </c>
      <c r="Z10" s="1" t="e">
        <f ca="1"/>
        <v>#NAME?</v>
      </c>
      <c r="AA10" s="90" t="e">
        <f ca="1"/>
        <v>#NAME?</v>
      </c>
      <c r="AB10" s="1" t="e">
        <f ca="1"/>
        <v>#NAME?</v>
      </c>
    </row>
    <row r="11" spans="1:28" x14ac:dyDescent="0.2">
      <c r="A11" s="67">
        <v>9</v>
      </c>
      <c r="B11" s="106">
        <v>1</v>
      </c>
      <c r="C11" s="76">
        <v>4</v>
      </c>
      <c r="D11" s="76">
        <f t="shared" si="0"/>
        <v>16</v>
      </c>
      <c r="E11" s="76">
        <f t="shared" si="1"/>
        <v>64</v>
      </c>
      <c r="F11" s="77">
        <f t="shared" si="2"/>
        <v>256</v>
      </c>
      <c r="G11" s="76" t="e">
        <f ca="1"/>
        <v>#NAME?</v>
      </c>
      <c r="H11" s="76" t="e">
        <f ca="1"/>
        <v>#NAME?</v>
      </c>
      <c r="I11" s="76" t="e">
        <f ca="1"/>
        <v>#NAME?</v>
      </c>
      <c r="J11" s="76" t="e">
        <f ca="1"/>
        <v>#NAME?</v>
      </c>
      <c r="K11" s="77" t="e">
        <f ca="1"/>
        <v>#NAME?</v>
      </c>
      <c r="L11" s="64">
        <f t="shared" si="3"/>
        <v>1.5895538838284597</v>
      </c>
      <c r="M11" s="64" t="e">
        <f ca="1"/>
        <v>#NAME?</v>
      </c>
      <c r="N11" s="64" t="e">
        <f ca="1"/>
        <v>#NAME?</v>
      </c>
      <c r="O11" s="64" t="e">
        <f t="shared" ca="1" si="4"/>
        <v>#NAME?</v>
      </c>
      <c r="R11" s="455">
        <v>1</v>
      </c>
      <c r="S11" s="1">
        <f t="shared" si="8"/>
        <v>-0.8000000000000006</v>
      </c>
      <c r="T11" s="1">
        <f t="shared" si="5"/>
        <v>0.64000000000000101</v>
      </c>
      <c r="U11" s="1">
        <f t="shared" si="6"/>
        <v>-0.51200000000000123</v>
      </c>
      <c r="V11" s="90">
        <f t="shared" si="7"/>
        <v>0.4096000000000013</v>
      </c>
      <c r="W11" s="455" t="e">
        <f ca="1"/>
        <v>#NAME?</v>
      </c>
      <c r="X11" s="1" t="e">
        <f ca="1"/>
        <v>#NAME?</v>
      </c>
      <c r="Y11" s="1" t="e">
        <f ca="1"/>
        <v>#NAME?</v>
      </c>
      <c r="Z11" s="1" t="e">
        <f ca="1"/>
        <v>#NAME?</v>
      </c>
      <c r="AA11" s="90" t="e">
        <f ca="1"/>
        <v>#NAME?</v>
      </c>
      <c r="AB11" s="1" t="e">
        <f ca="1"/>
        <v>#NAME?</v>
      </c>
    </row>
    <row r="12" spans="1:28" ht="18" x14ac:dyDescent="0.2">
      <c r="A12" s="620" t="s">
        <v>404</v>
      </c>
      <c r="B12" s="1371" t="s">
        <v>35</v>
      </c>
      <c r="C12" s="1372"/>
      <c r="D12" s="1372"/>
      <c r="E12" s="1372"/>
      <c r="F12" s="1372"/>
      <c r="G12" s="1371" t="s">
        <v>425</v>
      </c>
      <c r="H12" s="1372"/>
      <c r="I12" s="1372"/>
      <c r="J12" s="1372"/>
      <c r="K12" s="1373"/>
      <c r="M12" s="524" t="s">
        <v>39</v>
      </c>
      <c r="N12" s="524" t="s">
        <v>386</v>
      </c>
      <c r="R12" s="455">
        <v>1</v>
      </c>
      <c r="S12" s="1">
        <f t="shared" si="8"/>
        <v>-0.40000000000000058</v>
      </c>
      <c r="T12" s="1">
        <f t="shared" si="5"/>
        <v>0.16000000000000048</v>
      </c>
      <c r="U12" s="1">
        <f t="shared" si="6"/>
        <v>-6.4000000000000279E-2</v>
      </c>
      <c r="V12" s="90">
        <f t="shared" si="7"/>
        <v>2.560000000000015E-2</v>
      </c>
      <c r="W12" s="455" t="e">
        <f ca="1"/>
        <v>#NAME?</v>
      </c>
      <c r="X12" s="1" t="e">
        <f ca="1"/>
        <v>#NAME?</v>
      </c>
      <c r="Y12" s="1" t="e">
        <f ca="1"/>
        <v>#NAME?</v>
      </c>
      <c r="Z12" s="1" t="e">
        <f ca="1"/>
        <v>#NAME?</v>
      </c>
      <c r="AA12" s="90" t="e">
        <f ca="1"/>
        <v>#NAME?</v>
      </c>
      <c r="AB12" s="1" t="e">
        <f ca="1"/>
        <v>#NAME?</v>
      </c>
    </row>
    <row r="13" spans="1:28" x14ac:dyDescent="0.2">
      <c r="A13" s="130">
        <v>0</v>
      </c>
      <c r="B13" s="81">
        <f t="array" ref="B13:F17">MMULT(TRANSPOSE(X),X)</f>
        <v>9</v>
      </c>
      <c r="C13" s="88">
        <v>0</v>
      </c>
      <c r="D13" s="88">
        <v>60</v>
      </c>
      <c r="E13" s="88">
        <v>0</v>
      </c>
      <c r="F13" s="80">
        <v>708</v>
      </c>
      <c r="G13" s="81" t="e">
        <f t="array" aca="1" ref="G13:K17" ca="1">MMULT(L,TRANSPOSE(L))</f>
        <v>#NAME?</v>
      </c>
      <c r="H13" s="88" t="e">
        <f ca="1"/>
        <v>#NAME?</v>
      </c>
      <c r="I13" s="88" t="e">
        <f ca="1"/>
        <v>#NAME?</v>
      </c>
      <c r="J13" s="88" t="e">
        <f ca="1"/>
        <v>#NAME?</v>
      </c>
      <c r="K13" s="80" t="e">
        <f ca="1"/>
        <v>#NAME?</v>
      </c>
      <c r="M13" s="517" t="e">
        <f t="array" aca="1" ref="M13:M17" ca="1">MMULT([5]!PseudoInv(X),y)</f>
        <v>#NAME?</v>
      </c>
      <c r="N13" s="517" t="e">
        <f t="array" aca="1" ref="N13:N17" ca="1">MMULT(TRANSPOSE(L),a)</f>
        <v>#NAME?</v>
      </c>
      <c r="R13" s="455">
        <v>1</v>
      </c>
      <c r="S13" s="1">
        <f t="shared" si="8"/>
        <v>-5.5511151231257827E-16</v>
      </c>
      <c r="T13" s="1">
        <f t="shared" si="5"/>
        <v>3.0814879110195774E-31</v>
      </c>
      <c r="U13" s="1">
        <f t="shared" si="6"/>
        <v>-1.7105694144590052E-46</v>
      </c>
      <c r="V13" s="90">
        <f t="shared" si="7"/>
        <v>9.4955677457597987E-62</v>
      </c>
      <c r="W13" s="455" t="e">
        <f ca="1"/>
        <v>#NAME?</v>
      </c>
      <c r="X13" s="1" t="e">
        <f ca="1"/>
        <v>#NAME?</v>
      </c>
      <c r="Y13" s="1" t="e">
        <f ca="1"/>
        <v>#NAME?</v>
      </c>
      <c r="Z13" s="1" t="e">
        <f ca="1"/>
        <v>#NAME?</v>
      </c>
      <c r="AA13" s="90" t="e">
        <f ca="1"/>
        <v>#NAME?</v>
      </c>
      <c r="AB13" s="1" t="e">
        <f ca="1"/>
        <v>#NAME?</v>
      </c>
    </row>
    <row r="14" spans="1:28" x14ac:dyDescent="0.2">
      <c r="A14" s="623">
        <v>1</v>
      </c>
      <c r="B14" s="455">
        <v>0</v>
      </c>
      <c r="C14" s="1">
        <v>60</v>
      </c>
      <c r="D14" s="1">
        <v>0</v>
      </c>
      <c r="E14" s="1">
        <v>708</v>
      </c>
      <c r="F14" s="90">
        <v>0</v>
      </c>
      <c r="G14" s="455" t="e">
        <f ca="1"/>
        <v>#NAME?</v>
      </c>
      <c r="H14" s="1" t="e">
        <f ca="1"/>
        <v>#NAME?</v>
      </c>
      <c r="I14" s="1" t="e">
        <f ca="1"/>
        <v>#NAME?</v>
      </c>
      <c r="J14" s="1" t="e">
        <f ca="1"/>
        <v>#NAME?</v>
      </c>
      <c r="K14" s="90" t="e">
        <f ca="1"/>
        <v>#NAME?</v>
      </c>
      <c r="M14" s="35" t="e">
        <f ca="1"/>
        <v>#NAME?</v>
      </c>
      <c r="N14" s="35" t="e">
        <f ca="1"/>
        <v>#NAME?</v>
      </c>
      <c r="R14" s="455">
        <v>1</v>
      </c>
      <c r="S14" s="1">
        <f t="shared" si="8"/>
        <v>0.39999999999999947</v>
      </c>
      <c r="T14" s="1">
        <f t="shared" si="5"/>
        <v>0.15999999999999959</v>
      </c>
      <c r="U14" s="1">
        <f t="shared" si="6"/>
        <v>6.3999999999999752E-2</v>
      </c>
      <c r="V14" s="90">
        <f t="shared" si="7"/>
        <v>2.5599999999999869E-2</v>
      </c>
      <c r="W14" s="455" t="e">
        <f ca="1"/>
        <v>#NAME?</v>
      </c>
      <c r="X14" s="1" t="e">
        <f ca="1"/>
        <v>#NAME?</v>
      </c>
      <c r="Y14" s="1" t="e">
        <f ca="1"/>
        <v>#NAME?</v>
      </c>
      <c r="Z14" s="1" t="e">
        <f ca="1"/>
        <v>#NAME?</v>
      </c>
      <c r="AA14" s="90" t="e">
        <f ca="1"/>
        <v>#NAME?</v>
      </c>
      <c r="AB14" s="1" t="e">
        <f ca="1"/>
        <v>#NAME?</v>
      </c>
    </row>
    <row r="15" spans="1:28" x14ac:dyDescent="0.2">
      <c r="A15" s="623">
        <v>2</v>
      </c>
      <c r="B15" s="455">
        <v>60</v>
      </c>
      <c r="C15" s="1">
        <v>0</v>
      </c>
      <c r="D15" s="1">
        <v>708</v>
      </c>
      <c r="E15" s="1">
        <v>0</v>
      </c>
      <c r="F15" s="90">
        <v>9780</v>
      </c>
      <c r="G15" s="455" t="e">
        <f ca="1"/>
        <v>#NAME?</v>
      </c>
      <c r="H15" s="1" t="e">
        <f ca="1"/>
        <v>#NAME?</v>
      </c>
      <c r="I15" s="1" t="e">
        <f ca="1"/>
        <v>#NAME?</v>
      </c>
      <c r="J15" s="1" t="e">
        <f ca="1"/>
        <v>#NAME?</v>
      </c>
      <c r="K15" s="90" t="e">
        <f ca="1"/>
        <v>#NAME?</v>
      </c>
      <c r="M15" s="35" t="e">
        <f ca="1"/>
        <v>#NAME?</v>
      </c>
      <c r="N15" s="35" t="e">
        <f ca="1"/>
        <v>#NAME?</v>
      </c>
      <c r="R15" s="455">
        <v>1</v>
      </c>
      <c r="S15" s="1">
        <f t="shared" si="8"/>
        <v>0.79999999999999949</v>
      </c>
      <c r="T15" s="1">
        <f t="shared" si="5"/>
        <v>0.63999999999999924</v>
      </c>
      <c r="U15" s="1">
        <f t="shared" si="6"/>
        <v>0.51199999999999901</v>
      </c>
      <c r="V15" s="90">
        <f t="shared" si="7"/>
        <v>0.40959999999999902</v>
      </c>
      <c r="W15" s="455" t="e">
        <f ca="1"/>
        <v>#NAME?</v>
      </c>
      <c r="X15" s="1" t="e">
        <f ca="1"/>
        <v>#NAME?</v>
      </c>
      <c r="Y15" s="1" t="e">
        <f ca="1"/>
        <v>#NAME?</v>
      </c>
      <c r="Z15" s="1" t="e">
        <f ca="1"/>
        <v>#NAME?</v>
      </c>
      <c r="AA15" s="90" t="e">
        <f ca="1"/>
        <v>#NAME?</v>
      </c>
      <c r="AB15" s="1" t="e">
        <f ca="1"/>
        <v>#NAME?</v>
      </c>
    </row>
    <row r="16" spans="1:28" x14ac:dyDescent="0.2">
      <c r="A16" s="623">
        <v>3</v>
      </c>
      <c r="B16" s="455">
        <v>0</v>
      </c>
      <c r="C16" s="1">
        <v>708</v>
      </c>
      <c r="D16" s="1">
        <v>0</v>
      </c>
      <c r="E16" s="1">
        <v>9780</v>
      </c>
      <c r="F16" s="90">
        <v>0</v>
      </c>
      <c r="G16" s="455" t="e">
        <f ca="1"/>
        <v>#NAME?</v>
      </c>
      <c r="H16" s="1" t="e">
        <f ca="1"/>
        <v>#NAME?</v>
      </c>
      <c r="I16" s="1" t="e">
        <f ca="1"/>
        <v>#NAME?</v>
      </c>
      <c r="J16" s="1" t="e">
        <f ca="1"/>
        <v>#NAME?</v>
      </c>
      <c r="K16" s="90" t="e">
        <f ca="1"/>
        <v>#NAME?</v>
      </c>
      <c r="M16" s="35" t="e">
        <f ca="1"/>
        <v>#NAME?</v>
      </c>
      <c r="N16" s="35" t="e">
        <f ca="1"/>
        <v>#NAME?</v>
      </c>
      <c r="R16" s="455">
        <v>1</v>
      </c>
      <c r="S16" s="1">
        <f t="shared" si="8"/>
        <v>1.1999999999999995</v>
      </c>
      <c r="T16" s="1">
        <f t="shared" si="5"/>
        <v>1.4399999999999988</v>
      </c>
      <c r="U16" s="1">
        <f t="shared" si="6"/>
        <v>1.727999999999998</v>
      </c>
      <c r="V16" s="90">
        <f t="shared" si="7"/>
        <v>2.0735999999999968</v>
      </c>
      <c r="W16" s="455" t="e">
        <f ca="1"/>
        <v>#NAME?</v>
      </c>
      <c r="X16" s="1" t="e">
        <f ca="1"/>
        <v>#NAME?</v>
      </c>
      <c r="Y16" s="1" t="e">
        <f ca="1"/>
        <v>#NAME?</v>
      </c>
      <c r="Z16" s="1" t="e">
        <f ca="1"/>
        <v>#NAME?</v>
      </c>
      <c r="AA16" s="90" t="e">
        <f ca="1"/>
        <v>#NAME?</v>
      </c>
      <c r="AB16" s="1" t="e">
        <f ca="1"/>
        <v>#NAME?</v>
      </c>
    </row>
    <row r="17" spans="1:28" x14ac:dyDescent="0.2">
      <c r="A17" s="67">
        <v>4</v>
      </c>
      <c r="B17" s="455">
        <v>708</v>
      </c>
      <c r="C17" s="1">
        <v>0</v>
      </c>
      <c r="D17" s="1">
        <v>9780</v>
      </c>
      <c r="E17" s="1">
        <v>0</v>
      </c>
      <c r="F17" s="90">
        <v>144708</v>
      </c>
      <c r="G17" s="106" t="e">
        <f ca="1"/>
        <v>#NAME?</v>
      </c>
      <c r="H17" s="76" t="e">
        <f ca="1"/>
        <v>#NAME?</v>
      </c>
      <c r="I17" s="76" t="e">
        <f ca="1"/>
        <v>#NAME?</v>
      </c>
      <c r="J17" s="76" t="e">
        <f ca="1"/>
        <v>#NAME?</v>
      </c>
      <c r="K17" s="77" t="e">
        <f ca="1"/>
        <v>#NAME?</v>
      </c>
      <c r="M17" s="64" t="e">
        <f ca="1"/>
        <v>#NAME?</v>
      </c>
      <c r="N17" s="64" t="e">
        <f ca="1"/>
        <v>#NAME?</v>
      </c>
      <c r="R17" s="455">
        <v>1</v>
      </c>
      <c r="S17" s="1">
        <f t="shared" si="8"/>
        <v>1.5999999999999996</v>
      </c>
      <c r="T17" s="1">
        <f t="shared" si="5"/>
        <v>2.5599999999999987</v>
      </c>
      <c r="U17" s="1">
        <f t="shared" si="6"/>
        <v>4.0959999999999974</v>
      </c>
      <c r="V17" s="90">
        <f t="shared" si="7"/>
        <v>6.5535999999999932</v>
      </c>
      <c r="W17" s="455" t="e">
        <f ca="1"/>
        <v>#NAME?</v>
      </c>
      <c r="X17" s="1" t="e">
        <f ca="1"/>
        <v>#NAME?</v>
      </c>
      <c r="Y17" s="1" t="e">
        <f ca="1"/>
        <v>#NAME?</v>
      </c>
      <c r="Z17" s="1" t="e">
        <f ca="1"/>
        <v>#NAME?</v>
      </c>
      <c r="AA17" s="90" t="e">
        <f ca="1"/>
        <v>#NAME?</v>
      </c>
      <c r="AB17" s="1" t="e">
        <f ca="1"/>
        <v>#NAME?</v>
      </c>
    </row>
    <row r="18" spans="1:28" ht="18" x14ac:dyDescent="0.2">
      <c r="A18" s="620" t="s">
        <v>404</v>
      </c>
      <c r="B18" s="1357" t="s">
        <v>254</v>
      </c>
      <c r="C18" s="1346"/>
      <c r="D18" s="1346"/>
      <c r="E18" s="1346"/>
      <c r="F18" s="1360"/>
      <c r="G18" s="1357" t="s">
        <v>424</v>
      </c>
      <c r="H18" s="1346"/>
      <c r="I18" s="1346"/>
      <c r="J18" s="1346"/>
      <c r="K18" s="1360"/>
      <c r="L18" s="1371" t="s">
        <v>402</v>
      </c>
      <c r="M18" s="1372"/>
      <c r="N18" s="1372"/>
      <c r="O18" s="1372"/>
      <c r="P18" s="1373"/>
      <c r="R18" s="455">
        <v>1</v>
      </c>
      <c r="S18" s="1">
        <f t="shared" si="8"/>
        <v>1.9999999999999996</v>
      </c>
      <c r="T18" s="1">
        <f t="shared" si="5"/>
        <v>3.9999999999999982</v>
      </c>
      <c r="U18" s="1">
        <f t="shared" si="6"/>
        <v>7.9999999999999947</v>
      </c>
      <c r="V18" s="90">
        <f t="shared" si="7"/>
        <v>15.999999999999986</v>
      </c>
      <c r="W18" s="455" t="e">
        <f ca="1"/>
        <v>#NAME?</v>
      </c>
      <c r="X18" s="1" t="e">
        <f ca="1"/>
        <v>#NAME?</v>
      </c>
      <c r="Y18" s="1" t="e">
        <f ca="1"/>
        <v>#NAME?</v>
      </c>
      <c r="Z18" s="1" t="e">
        <f ca="1"/>
        <v>#NAME?</v>
      </c>
      <c r="AA18" s="90" t="e">
        <f ca="1"/>
        <v>#NAME?</v>
      </c>
      <c r="AB18" s="1" t="e">
        <f ca="1"/>
        <v>#NAME?</v>
      </c>
    </row>
    <row r="19" spans="1:28" x14ac:dyDescent="0.2">
      <c r="A19" s="130">
        <v>0</v>
      </c>
      <c r="B19" s="81" t="e">
        <f t="array" aca="1" ref="B19:F23" ca="1">[5]!CHOL(B13:F17)</f>
        <v>#NAME?</v>
      </c>
      <c r="C19" s="88" t="e">
        <f ca="1"/>
        <v>#NAME?</v>
      </c>
      <c r="D19" s="88" t="e">
        <f ca="1"/>
        <v>#NAME?</v>
      </c>
      <c r="E19" s="88" t="e">
        <f ca="1"/>
        <v>#NAME?</v>
      </c>
      <c r="F19" s="80" t="e">
        <f ca="1"/>
        <v>#NAME?</v>
      </c>
      <c r="G19" s="81" t="e">
        <f t="array" aca="1" ref="G19:K23" ca="1">MINVERSE(TRANSPOSE(L))</f>
        <v>#NAME?</v>
      </c>
      <c r="H19" s="88" t="e">
        <f ca="1"/>
        <v>#NAME?</v>
      </c>
      <c r="I19" s="88" t="e">
        <f ca="1"/>
        <v>#NAME?</v>
      </c>
      <c r="J19" s="88" t="e">
        <f ca="1"/>
        <v>#NAME?</v>
      </c>
      <c r="K19" s="80" t="e">
        <f ca="1"/>
        <v>#NAME?</v>
      </c>
      <c r="L19" s="81" t="e">
        <f t="array" aca="1" ref="L19:P23" ca="1">MMULT(TRANSPOSE(W),W)</f>
        <v>#NAME?</v>
      </c>
      <c r="M19" s="88" t="e">
        <f ca="1"/>
        <v>#NAME?</v>
      </c>
      <c r="N19" s="88" t="e">
        <f ca="1"/>
        <v>#NAME?</v>
      </c>
      <c r="O19" s="88" t="e">
        <f ca="1"/>
        <v>#NAME?</v>
      </c>
      <c r="P19" s="80" t="e">
        <f ca="1"/>
        <v>#NAME?</v>
      </c>
      <c r="R19" s="455">
        <v>1</v>
      </c>
      <c r="S19" s="1">
        <f t="shared" si="8"/>
        <v>2.3999999999999995</v>
      </c>
      <c r="T19" s="1">
        <f t="shared" si="5"/>
        <v>5.7599999999999971</v>
      </c>
      <c r="U19" s="1">
        <f t="shared" si="6"/>
        <v>13.823999999999989</v>
      </c>
      <c r="V19" s="90">
        <f t="shared" si="7"/>
        <v>33.17759999999997</v>
      </c>
      <c r="W19" s="455" t="e">
        <f ca="1"/>
        <v>#NAME?</v>
      </c>
      <c r="X19" s="1" t="e">
        <f ca="1"/>
        <v>#NAME?</v>
      </c>
      <c r="Y19" s="1" t="e">
        <f ca="1"/>
        <v>#NAME?</v>
      </c>
      <c r="Z19" s="1" t="e">
        <f ca="1"/>
        <v>#NAME?</v>
      </c>
      <c r="AA19" s="90" t="e">
        <f ca="1"/>
        <v>#NAME?</v>
      </c>
      <c r="AB19" s="1" t="e">
        <f ca="1"/>
        <v>#NAME?</v>
      </c>
    </row>
    <row r="20" spans="1:28" x14ac:dyDescent="0.2">
      <c r="A20" s="623">
        <v>1</v>
      </c>
      <c r="B20" s="455" t="e">
        <f ca="1"/>
        <v>#NAME?</v>
      </c>
      <c r="C20" s="1" t="e">
        <f ca="1"/>
        <v>#NAME?</v>
      </c>
      <c r="D20" s="1" t="e">
        <f ca="1"/>
        <v>#NAME?</v>
      </c>
      <c r="E20" s="1" t="e">
        <f ca="1"/>
        <v>#NAME?</v>
      </c>
      <c r="F20" s="90" t="e">
        <f ca="1"/>
        <v>#NAME?</v>
      </c>
      <c r="G20" s="455" t="e">
        <f ca="1"/>
        <v>#NAME?</v>
      </c>
      <c r="H20" s="1" t="e">
        <f ca="1"/>
        <v>#NAME?</v>
      </c>
      <c r="I20" s="1" t="e">
        <f ca="1"/>
        <v>#NAME?</v>
      </c>
      <c r="J20" s="1" t="e">
        <f ca="1"/>
        <v>#NAME?</v>
      </c>
      <c r="K20" s="90" t="e">
        <f ca="1"/>
        <v>#NAME?</v>
      </c>
      <c r="L20" s="455" t="e">
        <f ca="1"/>
        <v>#NAME?</v>
      </c>
      <c r="M20" s="1" t="e">
        <f ca="1"/>
        <v>#NAME?</v>
      </c>
      <c r="N20" s="1" t="e">
        <f ca="1"/>
        <v>#NAME?</v>
      </c>
      <c r="O20" s="1" t="e">
        <f ca="1"/>
        <v>#NAME?</v>
      </c>
      <c r="P20" s="90" t="e">
        <f ca="1"/>
        <v>#NAME?</v>
      </c>
      <c r="R20" s="455">
        <v>1</v>
      </c>
      <c r="S20" s="1">
        <f t="shared" si="8"/>
        <v>2.7999999999999994</v>
      </c>
      <c r="T20" s="1">
        <f t="shared" si="5"/>
        <v>7.8399999999999963</v>
      </c>
      <c r="U20" s="1">
        <f t="shared" si="6"/>
        <v>21.951999999999984</v>
      </c>
      <c r="V20" s="90">
        <f t="shared" si="7"/>
        <v>61.465599999999945</v>
      </c>
      <c r="W20" s="455" t="e">
        <f ca="1"/>
        <v>#NAME?</v>
      </c>
      <c r="X20" s="1" t="e">
        <f ca="1"/>
        <v>#NAME?</v>
      </c>
      <c r="Y20" s="1" t="e">
        <f ca="1"/>
        <v>#NAME?</v>
      </c>
      <c r="Z20" s="1" t="e">
        <f ca="1"/>
        <v>#NAME?</v>
      </c>
      <c r="AA20" s="90" t="e">
        <f ca="1"/>
        <v>#NAME?</v>
      </c>
      <c r="AB20" s="1" t="e">
        <f ca="1"/>
        <v>#NAME?</v>
      </c>
    </row>
    <row r="21" spans="1:28" x14ac:dyDescent="0.2">
      <c r="A21" s="623">
        <v>2</v>
      </c>
      <c r="B21" s="455" t="e">
        <f ca="1"/>
        <v>#NAME?</v>
      </c>
      <c r="C21" s="1" t="e">
        <f ca="1"/>
        <v>#NAME?</v>
      </c>
      <c r="D21" s="1" t="e">
        <f ca="1"/>
        <v>#NAME?</v>
      </c>
      <c r="E21" s="1" t="e">
        <f ca="1"/>
        <v>#NAME?</v>
      </c>
      <c r="F21" s="90" t="e">
        <f ca="1"/>
        <v>#NAME?</v>
      </c>
      <c r="G21" s="455" t="e">
        <f ca="1"/>
        <v>#NAME?</v>
      </c>
      <c r="H21" s="1" t="e">
        <f ca="1"/>
        <v>#NAME?</v>
      </c>
      <c r="I21" s="1" t="e">
        <f ca="1"/>
        <v>#NAME?</v>
      </c>
      <c r="J21" s="1" t="e">
        <f ca="1"/>
        <v>#NAME?</v>
      </c>
      <c r="K21" s="90" t="e">
        <f ca="1"/>
        <v>#NAME?</v>
      </c>
      <c r="L21" s="455" t="e">
        <f ca="1"/>
        <v>#NAME?</v>
      </c>
      <c r="M21" s="1" t="e">
        <f ca="1"/>
        <v>#NAME?</v>
      </c>
      <c r="N21" s="1" t="e">
        <f ca="1"/>
        <v>#NAME?</v>
      </c>
      <c r="O21" s="1" t="e">
        <f ca="1"/>
        <v>#NAME?</v>
      </c>
      <c r="P21" s="90" t="e">
        <f ca="1"/>
        <v>#NAME?</v>
      </c>
      <c r="R21" s="455">
        <v>1</v>
      </c>
      <c r="S21" s="1">
        <f t="shared" si="8"/>
        <v>3.1999999999999993</v>
      </c>
      <c r="T21" s="1">
        <f t="shared" si="5"/>
        <v>10.239999999999995</v>
      </c>
      <c r="U21" s="1">
        <f t="shared" si="6"/>
        <v>32.767999999999979</v>
      </c>
      <c r="V21" s="90">
        <f t="shared" si="7"/>
        <v>104.85759999999989</v>
      </c>
      <c r="W21" s="455" t="e">
        <f ca="1"/>
        <v>#NAME?</v>
      </c>
      <c r="X21" s="1" t="e">
        <f ca="1"/>
        <v>#NAME?</v>
      </c>
      <c r="Y21" s="1" t="e">
        <f ca="1"/>
        <v>#NAME?</v>
      </c>
      <c r="Z21" s="1" t="e">
        <f ca="1"/>
        <v>#NAME?</v>
      </c>
      <c r="AA21" s="90" t="e">
        <f ca="1"/>
        <v>#NAME?</v>
      </c>
      <c r="AB21" s="1" t="e">
        <f ca="1"/>
        <v>#NAME?</v>
      </c>
    </row>
    <row r="22" spans="1:28" x14ac:dyDescent="0.2">
      <c r="A22" s="623">
        <v>3</v>
      </c>
      <c r="B22" s="455" t="e">
        <f ca="1"/>
        <v>#NAME?</v>
      </c>
      <c r="C22" s="1" t="e">
        <f ca="1"/>
        <v>#NAME?</v>
      </c>
      <c r="D22" s="1" t="e">
        <f ca="1"/>
        <v>#NAME?</v>
      </c>
      <c r="E22" s="1" t="e">
        <f ca="1"/>
        <v>#NAME?</v>
      </c>
      <c r="F22" s="90" t="e">
        <f ca="1"/>
        <v>#NAME?</v>
      </c>
      <c r="G22" s="455" t="e">
        <f ca="1"/>
        <v>#NAME?</v>
      </c>
      <c r="H22" s="1" t="e">
        <f ca="1"/>
        <v>#NAME?</v>
      </c>
      <c r="I22" s="1" t="e">
        <f ca="1"/>
        <v>#NAME?</v>
      </c>
      <c r="J22" s="1" t="e">
        <f ca="1"/>
        <v>#NAME?</v>
      </c>
      <c r="K22" s="90" t="e">
        <f ca="1"/>
        <v>#NAME?</v>
      </c>
      <c r="L22" s="455" t="e">
        <f ca="1"/>
        <v>#NAME?</v>
      </c>
      <c r="M22" s="1" t="e">
        <f ca="1"/>
        <v>#NAME?</v>
      </c>
      <c r="N22" s="1" t="e">
        <f ca="1"/>
        <v>#NAME?</v>
      </c>
      <c r="O22" s="1" t="e">
        <f ca="1"/>
        <v>#NAME?</v>
      </c>
      <c r="P22" s="90" t="e">
        <f ca="1"/>
        <v>#NAME?</v>
      </c>
      <c r="R22" s="455">
        <v>1</v>
      </c>
      <c r="S22" s="1">
        <f t="shared" si="8"/>
        <v>3.5999999999999992</v>
      </c>
      <c r="T22" s="1">
        <f t="shared" si="5"/>
        <v>12.959999999999994</v>
      </c>
      <c r="U22" s="1">
        <f t="shared" si="6"/>
        <v>46.65599999999997</v>
      </c>
      <c r="V22" s="90">
        <f t="shared" si="7"/>
        <v>167.96159999999983</v>
      </c>
      <c r="W22" s="455" t="e">
        <f ca="1"/>
        <v>#NAME?</v>
      </c>
      <c r="X22" s="1" t="e">
        <f ca="1"/>
        <v>#NAME?</v>
      </c>
      <c r="Y22" s="1" t="e">
        <f ca="1"/>
        <v>#NAME?</v>
      </c>
      <c r="Z22" s="1" t="e">
        <f ca="1"/>
        <v>#NAME?</v>
      </c>
      <c r="AA22" s="90" t="e">
        <f ca="1"/>
        <v>#NAME?</v>
      </c>
      <c r="AB22" s="1" t="e">
        <f ca="1"/>
        <v>#NAME?</v>
      </c>
    </row>
    <row r="23" spans="1:28" x14ac:dyDescent="0.2">
      <c r="A23" s="67">
        <v>4</v>
      </c>
      <c r="B23" s="106" t="e">
        <f ca="1"/>
        <v>#NAME?</v>
      </c>
      <c r="C23" s="76" t="e">
        <f ca="1"/>
        <v>#NAME?</v>
      </c>
      <c r="D23" s="76" t="e">
        <f ca="1"/>
        <v>#NAME?</v>
      </c>
      <c r="E23" s="76" t="e">
        <f ca="1"/>
        <v>#NAME?</v>
      </c>
      <c r="F23" s="77" t="e">
        <f ca="1"/>
        <v>#NAME?</v>
      </c>
      <c r="G23" s="106" t="e">
        <f ca="1"/>
        <v>#NAME?</v>
      </c>
      <c r="H23" s="76" t="e">
        <f ca="1"/>
        <v>#NAME?</v>
      </c>
      <c r="I23" s="76" t="e">
        <f ca="1"/>
        <v>#NAME?</v>
      </c>
      <c r="J23" s="76" t="e">
        <f ca="1"/>
        <v>#NAME?</v>
      </c>
      <c r="K23" s="77" t="e">
        <f ca="1"/>
        <v>#NAME?</v>
      </c>
      <c r="L23" s="106" t="e">
        <f ca="1"/>
        <v>#NAME?</v>
      </c>
      <c r="M23" s="76" t="e">
        <f ca="1"/>
        <v>#NAME?</v>
      </c>
      <c r="N23" s="76" t="e">
        <f ca="1"/>
        <v>#NAME?</v>
      </c>
      <c r="O23" s="76" t="e">
        <f ca="1"/>
        <v>#NAME?</v>
      </c>
      <c r="P23" s="77" t="e">
        <f ca="1"/>
        <v>#NAME?</v>
      </c>
      <c r="R23" s="106">
        <v>1</v>
      </c>
      <c r="S23" s="76">
        <f t="shared" si="8"/>
        <v>3.9999999999999991</v>
      </c>
      <c r="T23" s="76">
        <f t="shared" si="5"/>
        <v>15.999999999999993</v>
      </c>
      <c r="U23" s="76">
        <f t="shared" si="6"/>
        <v>63.999999999999957</v>
      </c>
      <c r="V23" s="77">
        <f t="shared" si="7"/>
        <v>255.99999999999977</v>
      </c>
      <c r="W23" s="106" t="e">
        <f ca="1"/>
        <v>#NAME?</v>
      </c>
      <c r="X23" s="76" t="e">
        <f ca="1"/>
        <v>#NAME?</v>
      </c>
      <c r="Y23" s="76" t="e">
        <f ca="1"/>
        <v>#NAME?</v>
      </c>
      <c r="Z23" s="76" t="e">
        <f ca="1"/>
        <v>#NAME?</v>
      </c>
      <c r="AA23" s="77" t="e">
        <f ca="1"/>
        <v>#NAME?</v>
      </c>
      <c r="AB23" s="1" t="e">
        <f ca="1"/>
        <v>#NAME?</v>
      </c>
    </row>
  </sheetData>
  <mergeCells count="7">
    <mergeCell ref="L18:P18"/>
    <mergeCell ref="B1:F1"/>
    <mergeCell ref="G1:K1"/>
    <mergeCell ref="B12:F12"/>
    <mergeCell ref="B18:F18"/>
    <mergeCell ref="G12:K12"/>
    <mergeCell ref="G18:K18"/>
  </mergeCells>
  <conditionalFormatting sqref="L19:P23">
    <cfRule type="cellIs" dxfId="69" priority="1" operator="between">
      <formula>-0.0001</formula>
      <formula>0.0001</formula>
    </cfRule>
  </conditionalFormatting>
  <pageMargins left="0.7" right="0.7" top="0.75" bottom="0.75" header="0.3" footer="0.3"/>
  <pageSetup orientation="portrait" horizontalDpi="0" verticalDpi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080FB-034D-4546-B4B9-DDFC5E8C9F49}">
  <dimension ref="A1:AB23"/>
  <sheetViews>
    <sheetView topLeftCell="I1" zoomScaleNormal="100" workbookViewId="0">
      <selection activeCell="R1" sqref="R1:AI1048576"/>
    </sheetView>
  </sheetViews>
  <sheetFormatPr baseColWidth="10" defaultColWidth="6.83203125" defaultRowHeight="16" x14ac:dyDescent="0.2"/>
  <cols>
    <col min="1" max="1" width="6.83203125" style="1"/>
    <col min="2" max="5" width="7" style="1" bestFit="1" customWidth="1"/>
    <col min="6" max="6" width="7.1640625" style="1" bestFit="1" customWidth="1"/>
    <col min="7" max="7" width="7.33203125" style="1" bestFit="1" customWidth="1"/>
    <col min="8" max="10" width="7.5" style="1" bestFit="1" customWidth="1"/>
    <col min="11" max="11" width="7.33203125" style="1" bestFit="1" customWidth="1"/>
    <col min="12" max="12" width="13.1640625" style="1" bestFit="1" customWidth="1"/>
    <col min="13" max="17" width="6.83203125" style="1" customWidth="1"/>
    <col min="18" max="28" width="4.83203125" style="1" customWidth="1"/>
    <col min="29" max="16384" width="6.83203125" style="1"/>
  </cols>
  <sheetData>
    <row r="1" spans="1:28" x14ac:dyDescent="0.2">
      <c r="B1" s="1375" t="s">
        <v>14</v>
      </c>
      <c r="C1" s="1376"/>
      <c r="D1" s="1376"/>
      <c r="E1" s="1376"/>
      <c r="F1" s="1377"/>
      <c r="G1" s="1378" t="s">
        <v>423</v>
      </c>
      <c r="H1" s="1376"/>
      <c r="I1" s="1376"/>
      <c r="J1" s="1376"/>
      <c r="K1" s="1377"/>
      <c r="O1"/>
    </row>
    <row r="2" spans="1:28" ht="19" x14ac:dyDescent="0.25">
      <c r="A2" s="631" t="s">
        <v>10</v>
      </c>
      <c r="B2" s="2" t="s">
        <v>422</v>
      </c>
      <c r="C2" s="676" t="s">
        <v>421</v>
      </c>
      <c r="D2" s="676" t="s">
        <v>420</v>
      </c>
      <c r="E2" s="676" t="s">
        <v>419</v>
      </c>
      <c r="F2" s="667" t="s">
        <v>418</v>
      </c>
      <c r="G2" s="676" t="s">
        <v>417</v>
      </c>
      <c r="H2" s="676" t="s">
        <v>416</v>
      </c>
      <c r="I2" s="676" t="s">
        <v>415</v>
      </c>
      <c r="J2" s="676" t="s">
        <v>414</v>
      </c>
      <c r="K2" s="676" t="s">
        <v>413</v>
      </c>
      <c r="L2" s="631" t="s">
        <v>219</v>
      </c>
      <c r="M2" s="631" t="s">
        <v>397</v>
      </c>
      <c r="N2" s="631" t="s">
        <v>412</v>
      </c>
      <c r="O2" s="631" t="s">
        <v>411</v>
      </c>
      <c r="W2" s="511" t="s">
        <v>410</v>
      </c>
      <c r="X2" s="511" t="s">
        <v>409</v>
      </c>
      <c r="Y2" s="511" t="s">
        <v>408</v>
      </c>
      <c r="Z2" s="511" t="s">
        <v>407</v>
      </c>
      <c r="AA2" s="511" t="s">
        <v>406</v>
      </c>
    </row>
    <row r="3" spans="1:28" x14ac:dyDescent="0.2">
      <c r="A3" s="518">
        <v>1</v>
      </c>
      <c r="B3" s="81">
        <v>1</v>
      </c>
      <c r="C3" s="88">
        <v>-4</v>
      </c>
      <c r="D3" s="88">
        <f t="shared" ref="D3:D11" si="0">C3^2</f>
        <v>16</v>
      </c>
      <c r="E3" s="88">
        <f t="shared" ref="E3:E11" si="1">C3^3</f>
        <v>-64</v>
      </c>
      <c r="F3" s="80">
        <f t="shared" ref="F3:F11" si="2">C3^4</f>
        <v>256</v>
      </c>
      <c r="G3" s="522" t="e">
        <f t="array" aca="1" ref="G3:K11" ca="1">MMULT(X,MINVERSE(L))</f>
        <v>#NAME?</v>
      </c>
      <c r="H3" s="522" t="e">
        <f ca="1"/>
        <v>#NAME?</v>
      </c>
      <c r="I3" s="522" t="e">
        <f ca="1"/>
        <v>#NAME?</v>
      </c>
      <c r="J3" s="522" t="e">
        <f ca="1"/>
        <v>#NAME?</v>
      </c>
      <c r="K3" s="124" t="e">
        <f ca="1"/>
        <v>#NAME?</v>
      </c>
      <c r="L3" s="517">
        <f t="shared" ref="L3:L11" si="3">SIN(C3)+(C3^2)/2-5+COS(C3)</f>
        <v>3.1031588744443166</v>
      </c>
      <c r="M3" s="517" t="e">
        <f t="array" aca="1" ref="M3:M11" ca="1">MMULT(X,a)</f>
        <v>#NAME?</v>
      </c>
      <c r="N3" s="517" t="e">
        <f t="array" aca="1" ref="N3:N11" ca="1">MMULT(W,b)</f>
        <v>#NAME?</v>
      </c>
      <c r="O3" s="517" t="e">
        <f t="shared" ref="O3:O11" ca="1" si="4">L3-M3</f>
        <v>#NAME?</v>
      </c>
      <c r="R3" s="81">
        <v>1</v>
      </c>
      <c r="S3" s="88">
        <v>-4</v>
      </c>
      <c r="T3" s="88">
        <f t="shared" ref="T3:T23" si="5">S3^2</f>
        <v>16</v>
      </c>
      <c r="U3" s="88">
        <f t="shared" ref="U3:U23" si="6">S3^3</f>
        <v>-64</v>
      </c>
      <c r="V3" s="80">
        <f t="shared" ref="V3:V23" si="7">S3^4</f>
        <v>256</v>
      </c>
      <c r="W3" s="81" t="e">
        <f t="array" aca="1" ref="W3:AA23" ca="1">MMULT(R3:V23,G19:K23)</f>
        <v>#NAME?</v>
      </c>
      <c r="X3" s="88" t="e">
        <f ca="1"/>
        <v>#NAME?</v>
      </c>
      <c r="Y3" s="88" t="e">
        <f ca="1"/>
        <v>#NAME?</v>
      </c>
      <c r="Z3" s="88" t="e">
        <f ca="1"/>
        <v>#NAME?</v>
      </c>
      <c r="AA3" s="80" t="e">
        <f ca="1"/>
        <v>#NAME?</v>
      </c>
      <c r="AB3" s="1" t="e">
        <f t="array" aca="1" ref="AB3:AB23" ca="1">MMULT(R3:V23,a)</f>
        <v>#NAME?</v>
      </c>
    </row>
    <row r="4" spans="1:28" x14ac:dyDescent="0.2">
      <c r="A4" s="515">
        <v>2</v>
      </c>
      <c r="B4" s="455">
        <v>1</v>
      </c>
      <c r="C4" s="1">
        <v>-3</v>
      </c>
      <c r="D4" s="1">
        <f t="shared" si="0"/>
        <v>9</v>
      </c>
      <c r="E4" s="1">
        <f t="shared" si="1"/>
        <v>-27</v>
      </c>
      <c r="F4" s="90">
        <f t="shared" si="2"/>
        <v>81</v>
      </c>
      <c r="G4" s="36" t="e">
        <f ca="1"/>
        <v>#NAME?</v>
      </c>
      <c r="H4" s="36" t="e">
        <f ca="1"/>
        <v>#NAME?</v>
      </c>
      <c r="I4" s="36" t="e">
        <f ca="1"/>
        <v>#NAME?</v>
      </c>
      <c r="J4" s="36" t="e">
        <f ca="1"/>
        <v>#NAME?</v>
      </c>
      <c r="K4" s="37" t="e">
        <f ca="1"/>
        <v>#NAME?</v>
      </c>
      <c r="L4" s="35">
        <f t="shared" si="3"/>
        <v>-1.6311125046603128</v>
      </c>
      <c r="M4" s="35" t="e">
        <f ca="1"/>
        <v>#NAME?</v>
      </c>
      <c r="N4" s="35" t="e">
        <f ca="1"/>
        <v>#NAME?</v>
      </c>
      <c r="O4" s="35" t="e">
        <f t="shared" ca="1" si="4"/>
        <v>#NAME?</v>
      </c>
      <c r="R4" s="455">
        <v>1</v>
      </c>
      <c r="S4" s="1">
        <f t="shared" ref="S4:S23" si="8">S3+8/20</f>
        <v>-3.6</v>
      </c>
      <c r="T4" s="1">
        <f t="shared" si="5"/>
        <v>12.96</v>
      </c>
      <c r="U4" s="1">
        <f t="shared" si="6"/>
        <v>-46.656000000000006</v>
      </c>
      <c r="V4" s="90">
        <f t="shared" si="7"/>
        <v>167.96160000000003</v>
      </c>
      <c r="W4" s="455" t="e">
        <f ca="1"/>
        <v>#NAME?</v>
      </c>
      <c r="X4" s="1" t="e">
        <f ca="1"/>
        <v>#NAME?</v>
      </c>
      <c r="Y4" s="1" t="e">
        <f ca="1"/>
        <v>#NAME?</v>
      </c>
      <c r="Z4" s="1" t="e">
        <f ca="1"/>
        <v>#NAME?</v>
      </c>
      <c r="AA4" s="90" t="e">
        <f ca="1"/>
        <v>#NAME?</v>
      </c>
      <c r="AB4" s="1" t="e">
        <f ca="1"/>
        <v>#NAME?</v>
      </c>
    </row>
    <row r="5" spans="1:28" x14ac:dyDescent="0.2">
      <c r="A5" s="515">
        <v>3</v>
      </c>
      <c r="B5" s="455">
        <v>1</v>
      </c>
      <c r="C5" s="1">
        <v>-2</v>
      </c>
      <c r="D5" s="1">
        <f t="shared" si="0"/>
        <v>4</v>
      </c>
      <c r="E5" s="1">
        <f t="shared" si="1"/>
        <v>-8</v>
      </c>
      <c r="F5" s="90">
        <f t="shared" si="2"/>
        <v>16</v>
      </c>
      <c r="G5" s="36" t="e">
        <f ca="1"/>
        <v>#NAME?</v>
      </c>
      <c r="H5" s="36" t="e">
        <f ca="1"/>
        <v>#NAME?</v>
      </c>
      <c r="I5" s="36" t="e">
        <f ca="1"/>
        <v>#NAME?</v>
      </c>
      <c r="J5" s="36" t="e">
        <f ca="1"/>
        <v>#NAME?</v>
      </c>
      <c r="K5" s="37" t="e">
        <f ca="1"/>
        <v>#NAME?</v>
      </c>
      <c r="L5" s="35">
        <f t="shared" si="3"/>
        <v>-4.3254442633728241</v>
      </c>
      <c r="M5" s="35" t="e">
        <f ca="1"/>
        <v>#NAME?</v>
      </c>
      <c r="N5" s="35" t="e">
        <f ca="1"/>
        <v>#NAME?</v>
      </c>
      <c r="O5" s="35" t="e">
        <f t="shared" ca="1" si="4"/>
        <v>#NAME?</v>
      </c>
      <c r="R5" s="455">
        <v>1</v>
      </c>
      <c r="S5" s="1">
        <f t="shared" si="8"/>
        <v>-3.2</v>
      </c>
      <c r="T5" s="1">
        <f t="shared" si="5"/>
        <v>10.240000000000002</v>
      </c>
      <c r="U5" s="1">
        <f t="shared" si="6"/>
        <v>-32.768000000000008</v>
      </c>
      <c r="V5" s="90">
        <f t="shared" si="7"/>
        <v>104.85760000000005</v>
      </c>
      <c r="W5" s="455" t="e">
        <f ca="1"/>
        <v>#NAME?</v>
      </c>
      <c r="X5" s="1" t="e">
        <f ca="1"/>
        <v>#NAME?</v>
      </c>
      <c r="Y5" s="1" t="e">
        <f ca="1"/>
        <v>#NAME?</v>
      </c>
      <c r="Z5" s="1" t="e">
        <f ca="1"/>
        <v>#NAME?</v>
      </c>
      <c r="AA5" s="90" t="e">
        <f ca="1"/>
        <v>#NAME?</v>
      </c>
      <c r="AB5" s="1" t="e">
        <f ca="1"/>
        <v>#NAME?</v>
      </c>
    </row>
    <row r="6" spans="1:28" x14ac:dyDescent="0.2">
      <c r="A6" s="515">
        <v>4</v>
      </c>
      <c r="B6" s="455">
        <v>1</v>
      </c>
      <c r="C6" s="1">
        <v>-1</v>
      </c>
      <c r="D6" s="1">
        <f t="shared" si="0"/>
        <v>1</v>
      </c>
      <c r="E6" s="1">
        <f t="shared" si="1"/>
        <v>-1</v>
      </c>
      <c r="F6" s="90">
        <f t="shared" si="2"/>
        <v>1</v>
      </c>
      <c r="G6" s="36" t="e">
        <f ca="1"/>
        <v>#NAME?</v>
      </c>
      <c r="H6" s="36" t="e">
        <f ca="1"/>
        <v>#NAME?</v>
      </c>
      <c r="I6" s="36" t="e">
        <f ca="1"/>
        <v>#NAME?</v>
      </c>
      <c r="J6" s="36" t="e">
        <f ca="1"/>
        <v>#NAME?</v>
      </c>
      <c r="K6" s="37" t="e">
        <f ca="1"/>
        <v>#NAME?</v>
      </c>
      <c r="L6" s="35">
        <f t="shared" si="3"/>
        <v>-4.8011686789397565</v>
      </c>
      <c r="M6" s="35" t="e">
        <f ca="1"/>
        <v>#NAME?</v>
      </c>
      <c r="N6" s="35" t="e">
        <f ca="1"/>
        <v>#NAME?</v>
      </c>
      <c r="O6" s="35" t="e">
        <f t="shared" ca="1" si="4"/>
        <v>#NAME?</v>
      </c>
      <c r="R6" s="455">
        <v>1</v>
      </c>
      <c r="S6" s="1">
        <f t="shared" si="8"/>
        <v>-2.8000000000000003</v>
      </c>
      <c r="T6" s="1">
        <f t="shared" si="5"/>
        <v>7.8400000000000016</v>
      </c>
      <c r="U6" s="1">
        <f t="shared" si="6"/>
        <v>-21.952000000000005</v>
      </c>
      <c r="V6" s="90">
        <f t="shared" si="7"/>
        <v>61.465600000000023</v>
      </c>
      <c r="W6" s="455" t="e">
        <f ca="1"/>
        <v>#NAME?</v>
      </c>
      <c r="X6" s="1" t="e">
        <f ca="1"/>
        <v>#NAME?</v>
      </c>
      <c r="Y6" s="1" t="e">
        <f ca="1"/>
        <v>#NAME?</v>
      </c>
      <c r="Z6" s="1" t="e">
        <f ca="1"/>
        <v>#NAME?</v>
      </c>
      <c r="AA6" s="90" t="e">
        <f ca="1"/>
        <v>#NAME?</v>
      </c>
      <c r="AB6" s="1" t="e">
        <f ca="1"/>
        <v>#NAME?</v>
      </c>
    </row>
    <row r="7" spans="1:28" x14ac:dyDescent="0.2">
      <c r="A7" s="515">
        <v>5</v>
      </c>
      <c r="B7" s="455">
        <v>1</v>
      </c>
      <c r="C7" s="1">
        <v>0</v>
      </c>
      <c r="D7" s="1">
        <f t="shared" si="0"/>
        <v>0</v>
      </c>
      <c r="E7" s="1">
        <f t="shared" si="1"/>
        <v>0</v>
      </c>
      <c r="F7" s="90">
        <f t="shared" si="2"/>
        <v>0</v>
      </c>
      <c r="G7" s="36" t="e">
        <f ca="1"/>
        <v>#NAME?</v>
      </c>
      <c r="H7" s="36" t="e">
        <f ca="1"/>
        <v>#NAME?</v>
      </c>
      <c r="I7" s="36" t="e">
        <f ca="1"/>
        <v>#NAME?</v>
      </c>
      <c r="J7" s="36" t="e">
        <f ca="1"/>
        <v>#NAME?</v>
      </c>
      <c r="K7" s="37" t="e">
        <f ca="1"/>
        <v>#NAME?</v>
      </c>
      <c r="L7" s="35">
        <f t="shared" si="3"/>
        <v>-4</v>
      </c>
      <c r="M7" s="35" t="e">
        <f ca="1"/>
        <v>#NAME?</v>
      </c>
      <c r="N7" s="35" t="e">
        <f ca="1"/>
        <v>#NAME?</v>
      </c>
      <c r="O7" s="35" t="e">
        <f t="shared" ca="1" si="4"/>
        <v>#NAME?</v>
      </c>
      <c r="R7" s="455">
        <v>1</v>
      </c>
      <c r="S7" s="1">
        <f t="shared" si="8"/>
        <v>-2.4000000000000004</v>
      </c>
      <c r="T7" s="1">
        <f t="shared" si="5"/>
        <v>5.7600000000000016</v>
      </c>
      <c r="U7" s="1">
        <f t="shared" si="6"/>
        <v>-13.824000000000005</v>
      </c>
      <c r="V7" s="90">
        <f t="shared" si="7"/>
        <v>33.17760000000002</v>
      </c>
      <c r="W7" s="455" t="e">
        <f ca="1"/>
        <v>#NAME?</v>
      </c>
      <c r="X7" s="1" t="e">
        <f ca="1"/>
        <v>#NAME?</v>
      </c>
      <c r="Y7" s="1" t="e">
        <f ca="1"/>
        <v>#NAME?</v>
      </c>
      <c r="Z7" s="1" t="e">
        <f ca="1"/>
        <v>#NAME?</v>
      </c>
      <c r="AA7" s="90" t="e">
        <f ca="1"/>
        <v>#NAME?</v>
      </c>
      <c r="AB7" s="1" t="e">
        <f ca="1"/>
        <v>#NAME?</v>
      </c>
    </row>
    <row r="8" spans="1:28" x14ac:dyDescent="0.2">
      <c r="A8" s="515">
        <v>6</v>
      </c>
      <c r="B8" s="455">
        <v>1</v>
      </c>
      <c r="C8" s="1">
        <v>1</v>
      </c>
      <c r="D8" s="1">
        <f t="shared" si="0"/>
        <v>1</v>
      </c>
      <c r="E8" s="1">
        <f t="shared" si="1"/>
        <v>1</v>
      </c>
      <c r="F8" s="90">
        <f t="shared" si="2"/>
        <v>1</v>
      </c>
      <c r="G8" s="36" t="e">
        <f ca="1"/>
        <v>#NAME?</v>
      </c>
      <c r="H8" s="36" t="e">
        <f ca="1"/>
        <v>#NAME?</v>
      </c>
      <c r="I8" s="36" t="e">
        <f ca="1"/>
        <v>#NAME?</v>
      </c>
      <c r="J8" s="36" t="e">
        <f ca="1"/>
        <v>#NAME?</v>
      </c>
      <c r="K8" s="37" t="e">
        <f ca="1"/>
        <v>#NAME?</v>
      </c>
      <c r="L8" s="35">
        <f t="shared" si="3"/>
        <v>-3.1182267093239635</v>
      </c>
      <c r="M8" s="35" t="e">
        <f ca="1"/>
        <v>#NAME?</v>
      </c>
      <c r="N8" s="35" t="e">
        <f ca="1"/>
        <v>#NAME?</v>
      </c>
      <c r="O8" s="35" t="e">
        <f t="shared" ca="1" si="4"/>
        <v>#NAME?</v>
      </c>
      <c r="R8" s="455">
        <v>1</v>
      </c>
      <c r="S8" s="1">
        <f t="shared" si="8"/>
        <v>-2.0000000000000004</v>
      </c>
      <c r="T8" s="1">
        <f t="shared" si="5"/>
        <v>4.0000000000000018</v>
      </c>
      <c r="U8" s="1">
        <f t="shared" si="6"/>
        <v>-8.0000000000000053</v>
      </c>
      <c r="V8" s="90">
        <f t="shared" si="7"/>
        <v>16.000000000000014</v>
      </c>
      <c r="W8" s="455" t="e">
        <f ca="1"/>
        <v>#NAME?</v>
      </c>
      <c r="X8" s="1" t="e">
        <f ca="1"/>
        <v>#NAME?</v>
      </c>
      <c r="Y8" s="1" t="e">
        <f ca="1"/>
        <v>#NAME?</v>
      </c>
      <c r="Z8" s="1" t="e">
        <f ca="1"/>
        <v>#NAME?</v>
      </c>
      <c r="AA8" s="90" t="e">
        <f ca="1"/>
        <v>#NAME?</v>
      </c>
      <c r="AB8" s="1" t="e">
        <f ca="1"/>
        <v>#NAME?</v>
      </c>
    </row>
    <row r="9" spans="1:28" x14ac:dyDescent="0.2">
      <c r="A9" s="515">
        <v>7</v>
      </c>
      <c r="B9" s="455">
        <v>1</v>
      </c>
      <c r="C9" s="1">
        <v>2</v>
      </c>
      <c r="D9" s="1">
        <f t="shared" si="0"/>
        <v>4</v>
      </c>
      <c r="E9" s="1">
        <f t="shared" si="1"/>
        <v>8</v>
      </c>
      <c r="F9" s="90">
        <f t="shared" si="2"/>
        <v>16</v>
      </c>
      <c r="G9" s="36" t="e">
        <f ca="1"/>
        <v>#NAME?</v>
      </c>
      <c r="H9" s="36" t="e">
        <f ca="1"/>
        <v>#NAME?</v>
      </c>
      <c r="I9" s="36" t="e">
        <f ca="1"/>
        <v>#NAME?</v>
      </c>
      <c r="J9" s="36" t="e">
        <f ca="1"/>
        <v>#NAME?</v>
      </c>
      <c r="K9" s="37" t="e">
        <f ca="1"/>
        <v>#NAME?</v>
      </c>
      <c r="L9" s="35">
        <f t="shared" si="3"/>
        <v>-2.5068494097214606</v>
      </c>
      <c r="M9" s="35" t="e">
        <f ca="1"/>
        <v>#NAME?</v>
      </c>
      <c r="N9" s="35" t="e">
        <f ca="1"/>
        <v>#NAME?</v>
      </c>
      <c r="O9" s="35" t="e">
        <f t="shared" ca="1" si="4"/>
        <v>#NAME?</v>
      </c>
      <c r="R9" s="455">
        <v>1</v>
      </c>
      <c r="S9" s="1">
        <f t="shared" si="8"/>
        <v>-1.6000000000000005</v>
      </c>
      <c r="T9" s="1">
        <f t="shared" si="5"/>
        <v>2.5600000000000018</v>
      </c>
      <c r="U9" s="1">
        <f t="shared" si="6"/>
        <v>-4.0960000000000045</v>
      </c>
      <c r="V9" s="90">
        <f t="shared" si="7"/>
        <v>6.5536000000000092</v>
      </c>
      <c r="W9" s="455" t="e">
        <f ca="1"/>
        <v>#NAME?</v>
      </c>
      <c r="X9" s="1" t="e">
        <f ca="1"/>
        <v>#NAME?</v>
      </c>
      <c r="Y9" s="1" t="e">
        <f ca="1"/>
        <v>#NAME?</v>
      </c>
      <c r="Z9" s="1" t="e">
        <f ca="1"/>
        <v>#NAME?</v>
      </c>
      <c r="AA9" s="90" t="e">
        <f ca="1"/>
        <v>#NAME?</v>
      </c>
      <c r="AB9" s="1" t="e">
        <f ca="1"/>
        <v>#NAME?</v>
      </c>
    </row>
    <row r="10" spans="1:28" x14ac:dyDescent="0.2">
      <c r="A10" s="515">
        <v>8</v>
      </c>
      <c r="B10" s="455">
        <v>1</v>
      </c>
      <c r="C10" s="1">
        <v>3</v>
      </c>
      <c r="D10" s="1">
        <f t="shared" si="0"/>
        <v>9</v>
      </c>
      <c r="E10" s="1">
        <f t="shared" si="1"/>
        <v>27</v>
      </c>
      <c r="F10" s="90">
        <f t="shared" si="2"/>
        <v>81</v>
      </c>
      <c r="G10" s="36" t="e">
        <f ca="1"/>
        <v>#NAME?</v>
      </c>
      <c r="H10" s="36" t="e">
        <f ca="1"/>
        <v>#NAME?</v>
      </c>
      <c r="I10" s="36" t="e">
        <f ca="1"/>
        <v>#NAME?</v>
      </c>
      <c r="J10" s="36" t="e">
        <f ca="1"/>
        <v>#NAME?</v>
      </c>
      <c r="K10" s="37" t="e">
        <f ca="1"/>
        <v>#NAME?</v>
      </c>
      <c r="L10" s="35">
        <f t="shared" si="3"/>
        <v>-1.3488724885405781</v>
      </c>
      <c r="M10" s="35" t="e">
        <f ca="1"/>
        <v>#NAME?</v>
      </c>
      <c r="N10" s="35" t="e">
        <f ca="1"/>
        <v>#NAME?</v>
      </c>
      <c r="O10" s="35" t="e">
        <f t="shared" ca="1" si="4"/>
        <v>#NAME?</v>
      </c>
      <c r="R10" s="455">
        <v>1</v>
      </c>
      <c r="S10" s="1">
        <f t="shared" si="8"/>
        <v>-1.2000000000000006</v>
      </c>
      <c r="T10" s="1">
        <f t="shared" si="5"/>
        <v>1.4400000000000015</v>
      </c>
      <c r="U10" s="1">
        <f t="shared" si="6"/>
        <v>-1.7280000000000026</v>
      </c>
      <c r="V10" s="90">
        <f t="shared" si="7"/>
        <v>2.0736000000000043</v>
      </c>
      <c r="W10" s="455" t="e">
        <f ca="1"/>
        <v>#NAME?</v>
      </c>
      <c r="X10" s="1" t="e">
        <f ca="1"/>
        <v>#NAME?</v>
      </c>
      <c r="Y10" s="1" t="e">
        <f ca="1"/>
        <v>#NAME?</v>
      </c>
      <c r="Z10" s="1" t="e">
        <f ca="1"/>
        <v>#NAME?</v>
      </c>
      <c r="AA10" s="90" t="e">
        <f ca="1"/>
        <v>#NAME?</v>
      </c>
      <c r="AB10" s="1" t="e">
        <f ca="1"/>
        <v>#NAME?</v>
      </c>
    </row>
    <row r="11" spans="1:28" x14ac:dyDescent="0.2">
      <c r="A11" s="513">
        <v>9</v>
      </c>
      <c r="B11" s="106">
        <v>1</v>
      </c>
      <c r="C11" s="76">
        <v>4</v>
      </c>
      <c r="D11" s="76">
        <f t="shared" si="0"/>
        <v>16</v>
      </c>
      <c r="E11" s="76">
        <f t="shared" si="1"/>
        <v>64</v>
      </c>
      <c r="F11" s="77">
        <f t="shared" si="2"/>
        <v>256</v>
      </c>
      <c r="G11" s="65" t="e">
        <f ca="1"/>
        <v>#NAME?</v>
      </c>
      <c r="H11" s="65" t="e">
        <f ca="1"/>
        <v>#NAME?</v>
      </c>
      <c r="I11" s="65" t="e">
        <f ca="1"/>
        <v>#NAME?</v>
      </c>
      <c r="J11" s="65" t="e">
        <f ca="1"/>
        <v>#NAME?</v>
      </c>
      <c r="K11" s="66" t="e">
        <f ca="1"/>
        <v>#NAME?</v>
      </c>
      <c r="L11" s="64">
        <f t="shared" si="3"/>
        <v>1.5895538838284597</v>
      </c>
      <c r="M11" s="64" t="e">
        <f ca="1"/>
        <v>#NAME?</v>
      </c>
      <c r="N11" s="64" t="e">
        <f ca="1"/>
        <v>#NAME?</v>
      </c>
      <c r="O11" s="64" t="e">
        <f t="shared" ca="1" si="4"/>
        <v>#NAME?</v>
      </c>
      <c r="R11" s="455">
        <v>1</v>
      </c>
      <c r="S11" s="1">
        <f t="shared" si="8"/>
        <v>-0.8000000000000006</v>
      </c>
      <c r="T11" s="1">
        <f t="shared" si="5"/>
        <v>0.64000000000000101</v>
      </c>
      <c r="U11" s="1">
        <f t="shared" si="6"/>
        <v>-0.51200000000000123</v>
      </c>
      <c r="V11" s="90">
        <f t="shared" si="7"/>
        <v>0.4096000000000013</v>
      </c>
      <c r="W11" s="455" t="e">
        <f ca="1"/>
        <v>#NAME?</v>
      </c>
      <c r="X11" s="1" t="e">
        <f ca="1"/>
        <v>#NAME?</v>
      </c>
      <c r="Y11" s="1" t="e">
        <f ca="1"/>
        <v>#NAME?</v>
      </c>
      <c r="Z11" s="1" t="e">
        <f ca="1"/>
        <v>#NAME?</v>
      </c>
      <c r="AA11" s="90" t="e">
        <f ca="1"/>
        <v>#NAME?</v>
      </c>
      <c r="AB11" s="1" t="e">
        <f ca="1"/>
        <v>#NAME?</v>
      </c>
    </row>
    <row r="12" spans="1:28" ht="18" x14ac:dyDescent="0.2">
      <c r="A12" s="511" t="s">
        <v>404</v>
      </c>
      <c r="B12" s="1375" t="s">
        <v>35</v>
      </c>
      <c r="C12" s="1376"/>
      <c r="D12" s="1376"/>
      <c r="E12" s="1376"/>
      <c r="F12" s="1376"/>
      <c r="G12" s="1375" t="s">
        <v>405</v>
      </c>
      <c r="H12" s="1376"/>
      <c r="I12" s="1376"/>
      <c r="J12" s="1376"/>
      <c r="K12" s="1377"/>
      <c r="M12" s="631" t="s">
        <v>39</v>
      </c>
      <c r="N12" s="631" t="s">
        <v>386</v>
      </c>
      <c r="R12" s="455">
        <v>1</v>
      </c>
      <c r="S12" s="1">
        <f t="shared" si="8"/>
        <v>-0.40000000000000058</v>
      </c>
      <c r="T12" s="1">
        <f t="shared" si="5"/>
        <v>0.16000000000000048</v>
      </c>
      <c r="U12" s="1">
        <f t="shared" si="6"/>
        <v>-6.4000000000000279E-2</v>
      </c>
      <c r="V12" s="90">
        <f t="shared" si="7"/>
        <v>2.560000000000015E-2</v>
      </c>
      <c r="W12" s="455" t="e">
        <f ca="1"/>
        <v>#NAME?</v>
      </c>
      <c r="X12" s="1" t="e">
        <f ca="1"/>
        <v>#NAME?</v>
      </c>
      <c r="Y12" s="1" t="e">
        <f ca="1"/>
        <v>#NAME?</v>
      </c>
      <c r="Z12" s="1" t="e">
        <f ca="1"/>
        <v>#NAME?</v>
      </c>
      <c r="AA12" s="90" t="e">
        <f ca="1"/>
        <v>#NAME?</v>
      </c>
      <c r="AB12" s="1" t="e">
        <f ca="1"/>
        <v>#NAME?</v>
      </c>
    </row>
    <row r="13" spans="1:28" x14ac:dyDescent="0.2">
      <c r="A13" s="518">
        <v>0</v>
      </c>
      <c r="B13" s="81">
        <f t="array" ref="B13:F17">MMULT(TRANSPOSE(X),X)</f>
        <v>9</v>
      </c>
      <c r="C13" s="88">
        <v>0</v>
      </c>
      <c r="D13" s="88">
        <v>60</v>
      </c>
      <c r="E13" s="88">
        <v>0</v>
      </c>
      <c r="F13" s="80">
        <v>708</v>
      </c>
      <c r="G13" s="81" t="e">
        <f t="array" aca="1" ref="G13:K17" ca="1">MMULT(L,L)</f>
        <v>#NAME?</v>
      </c>
      <c r="H13" s="88" t="e">
        <f ca="1"/>
        <v>#NAME?</v>
      </c>
      <c r="I13" s="88" t="e">
        <f ca="1"/>
        <v>#NAME?</v>
      </c>
      <c r="J13" s="88" t="e">
        <f ca="1"/>
        <v>#NAME?</v>
      </c>
      <c r="K13" s="80" t="e">
        <f ca="1"/>
        <v>#NAME?</v>
      </c>
      <c r="M13" s="517" t="e">
        <f t="array" aca="1" ref="M13:M17" ca="1">MMULT([5]!PseudoInv(X),y)</f>
        <v>#NAME?</v>
      </c>
      <c r="N13" s="517" t="e">
        <f t="array" aca="1" ref="N13:N17" ca="1">MMULT(TRANSPOSE(L),a)</f>
        <v>#NAME?</v>
      </c>
      <c r="R13" s="455">
        <v>1</v>
      </c>
      <c r="S13" s="1">
        <f t="shared" si="8"/>
        <v>-5.5511151231257827E-16</v>
      </c>
      <c r="T13" s="1">
        <f t="shared" si="5"/>
        <v>3.0814879110195774E-31</v>
      </c>
      <c r="U13" s="1">
        <f t="shared" si="6"/>
        <v>-1.7105694144590052E-46</v>
      </c>
      <c r="V13" s="90">
        <f t="shared" si="7"/>
        <v>9.4955677457597987E-62</v>
      </c>
      <c r="W13" s="455" t="e">
        <f ca="1"/>
        <v>#NAME?</v>
      </c>
      <c r="X13" s="1" t="e">
        <f ca="1"/>
        <v>#NAME?</v>
      </c>
      <c r="Y13" s="1" t="e">
        <f ca="1"/>
        <v>#NAME?</v>
      </c>
      <c r="Z13" s="1" t="e">
        <f ca="1"/>
        <v>#NAME?</v>
      </c>
      <c r="AA13" s="90" t="e">
        <f ca="1"/>
        <v>#NAME?</v>
      </c>
      <c r="AB13" s="1" t="e">
        <f ca="1"/>
        <v>#NAME?</v>
      </c>
    </row>
    <row r="14" spans="1:28" x14ac:dyDescent="0.2">
      <c r="A14" s="515">
        <v>1</v>
      </c>
      <c r="B14" s="455">
        <v>0</v>
      </c>
      <c r="C14" s="1">
        <v>60</v>
      </c>
      <c r="D14" s="1">
        <v>0</v>
      </c>
      <c r="E14" s="1">
        <v>708</v>
      </c>
      <c r="F14" s="90">
        <v>0</v>
      </c>
      <c r="G14" s="455" t="e">
        <f ca="1"/>
        <v>#NAME?</v>
      </c>
      <c r="H14" s="1" t="e">
        <f ca="1"/>
        <v>#NAME?</v>
      </c>
      <c r="I14" s="1" t="e">
        <f ca="1"/>
        <v>#NAME?</v>
      </c>
      <c r="J14" s="1" t="e">
        <f ca="1"/>
        <v>#NAME?</v>
      </c>
      <c r="K14" s="90" t="e">
        <f ca="1"/>
        <v>#NAME?</v>
      </c>
      <c r="M14" s="35" t="e">
        <f ca="1"/>
        <v>#NAME?</v>
      </c>
      <c r="N14" s="35" t="e">
        <f ca="1"/>
        <v>#NAME?</v>
      </c>
      <c r="R14" s="455">
        <v>1</v>
      </c>
      <c r="S14" s="1">
        <f t="shared" si="8"/>
        <v>0.39999999999999947</v>
      </c>
      <c r="T14" s="1">
        <f t="shared" si="5"/>
        <v>0.15999999999999959</v>
      </c>
      <c r="U14" s="1">
        <f t="shared" si="6"/>
        <v>6.3999999999999752E-2</v>
      </c>
      <c r="V14" s="90">
        <f t="shared" si="7"/>
        <v>2.5599999999999869E-2</v>
      </c>
      <c r="W14" s="455" t="e">
        <f ca="1"/>
        <v>#NAME?</v>
      </c>
      <c r="X14" s="1" t="e">
        <f ca="1"/>
        <v>#NAME?</v>
      </c>
      <c r="Y14" s="1" t="e">
        <f ca="1"/>
        <v>#NAME?</v>
      </c>
      <c r="Z14" s="1" t="e">
        <f ca="1"/>
        <v>#NAME?</v>
      </c>
      <c r="AA14" s="90" t="e">
        <f ca="1"/>
        <v>#NAME?</v>
      </c>
      <c r="AB14" s="1" t="e">
        <f ca="1"/>
        <v>#NAME?</v>
      </c>
    </row>
    <row r="15" spans="1:28" x14ac:dyDescent="0.2">
      <c r="A15" s="515">
        <v>2</v>
      </c>
      <c r="B15" s="455">
        <v>60</v>
      </c>
      <c r="C15" s="1">
        <v>0</v>
      </c>
      <c r="D15" s="1">
        <v>708</v>
      </c>
      <c r="E15" s="1">
        <v>0</v>
      </c>
      <c r="F15" s="90">
        <v>9780</v>
      </c>
      <c r="G15" s="455" t="e">
        <f ca="1"/>
        <v>#NAME?</v>
      </c>
      <c r="H15" s="1" t="e">
        <f ca="1"/>
        <v>#NAME?</v>
      </c>
      <c r="I15" s="1" t="e">
        <f ca="1"/>
        <v>#NAME?</v>
      </c>
      <c r="J15" s="1" t="e">
        <f ca="1"/>
        <v>#NAME?</v>
      </c>
      <c r="K15" s="90" t="e">
        <f ca="1"/>
        <v>#NAME?</v>
      </c>
      <c r="M15" s="35" t="e">
        <f ca="1"/>
        <v>#NAME?</v>
      </c>
      <c r="N15" s="35" t="e">
        <f ca="1"/>
        <v>#NAME?</v>
      </c>
      <c r="R15" s="455">
        <v>1</v>
      </c>
      <c r="S15" s="1">
        <f t="shared" si="8"/>
        <v>0.79999999999999949</v>
      </c>
      <c r="T15" s="1">
        <f t="shared" si="5"/>
        <v>0.63999999999999924</v>
      </c>
      <c r="U15" s="1">
        <f t="shared" si="6"/>
        <v>0.51199999999999901</v>
      </c>
      <c r="V15" s="90">
        <f t="shared" si="7"/>
        <v>0.40959999999999902</v>
      </c>
      <c r="W15" s="455" t="e">
        <f ca="1"/>
        <v>#NAME?</v>
      </c>
      <c r="X15" s="1" t="e">
        <f ca="1"/>
        <v>#NAME?</v>
      </c>
      <c r="Y15" s="1" t="e">
        <f ca="1"/>
        <v>#NAME?</v>
      </c>
      <c r="Z15" s="1" t="e">
        <f ca="1"/>
        <v>#NAME?</v>
      </c>
      <c r="AA15" s="90" t="e">
        <f ca="1"/>
        <v>#NAME?</v>
      </c>
      <c r="AB15" s="1" t="e">
        <f ca="1"/>
        <v>#NAME?</v>
      </c>
    </row>
    <row r="16" spans="1:28" x14ac:dyDescent="0.2">
      <c r="A16" s="515">
        <v>3</v>
      </c>
      <c r="B16" s="455">
        <v>0</v>
      </c>
      <c r="C16" s="1">
        <v>708</v>
      </c>
      <c r="D16" s="1">
        <v>0</v>
      </c>
      <c r="E16" s="1">
        <v>9780</v>
      </c>
      <c r="F16" s="90">
        <v>0</v>
      </c>
      <c r="G16" s="455" t="e">
        <f ca="1"/>
        <v>#NAME?</v>
      </c>
      <c r="H16" s="1" t="e">
        <f ca="1"/>
        <v>#NAME?</v>
      </c>
      <c r="I16" s="1" t="e">
        <f ca="1"/>
        <v>#NAME?</v>
      </c>
      <c r="J16" s="1" t="e">
        <f ca="1"/>
        <v>#NAME?</v>
      </c>
      <c r="K16" s="90" t="e">
        <f ca="1"/>
        <v>#NAME?</v>
      </c>
      <c r="M16" s="35" t="e">
        <f ca="1"/>
        <v>#NAME?</v>
      </c>
      <c r="N16" s="35" t="e">
        <f ca="1"/>
        <v>#NAME?</v>
      </c>
      <c r="R16" s="455">
        <v>1</v>
      </c>
      <c r="S16" s="1">
        <f t="shared" si="8"/>
        <v>1.1999999999999995</v>
      </c>
      <c r="T16" s="1">
        <f t="shared" si="5"/>
        <v>1.4399999999999988</v>
      </c>
      <c r="U16" s="1">
        <f t="shared" si="6"/>
        <v>1.727999999999998</v>
      </c>
      <c r="V16" s="90">
        <f t="shared" si="7"/>
        <v>2.0735999999999968</v>
      </c>
      <c r="W16" s="455" t="e">
        <f ca="1"/>
        <v>#NAME?</v>
      </c>
      <c r="X16" s="1" t="e">
        <f ca="1"/>
        <v>#NAME?</v>
      </c>
      <c r="Y16" s="1" t="e">
        <f ca="1"/>
        <v>#NAME?</v>
      </c>
      <c r="Z16" s="1" t="e">
        <f ca="1"/>
        <v>#NAME?</v>
      </c>
      <c r="AA16" s="90" t="e">
        <f ca="1"/>
        <v>#NAME?</v>
      </c>
      <c r="AB16" s="1" t="e">
        <f ca="1"/>
        <v>#NAME?</v>
      </c>
    </row>
    <row r="17" spans="1:28" x14ac:dyDescent="0.2">
      <c r="A17" s="513">
        <v>4</v>
      </c>
      <c r="B17" s="455">
        <v>708</v>
      </c>
      <c r="C17" s="1">
        <v>0</v>
      </c>
      <c r="D17" s="1">
        <v>9780</v>
      </c>
      <c r="E17" s="1">
        <v>0</v>
      </c>
      <c r="F17" s="90">
        <v>144708</v>
      </c>
      <c r="G17" s="106" t="e">
        <f ca="1"/>
        <v>#NAME?</v>
      </c>
      <c r="H17" s="76" t="e">
        <f ca="1"/>
        <v>#NAME?</v>
      </c>
      <c r="I17" s="76" t="e">
        <f ca="1"/>
        <v>#NAME?</v>
      </c>
      <c r="J17" s="76" t="e">
        <f ca="1"/>
        <v>#NAME?</v>
      </c>
      <c r="K17" s="77" t="e">
        <f ca="1"/>
        <v>#NAME?</v>
      </c>
      <c r="M17" s="64" t="e">
        <f ca="1"/>
        <v>#NAME?</v>
      </c>
      <c r="N17" s="64" t="e">
        <f ca="1"/>
        <v>#NAME?</v>
      </c>
      <c r="R17" s="455">
        <v>1</v>
      </c>
      <c r="S17" s="1">
        <f t="shared" si="8"/>
        <v>1.5999999999999996</v>
      </c>
      <c r="T17" s="1">
        <f t="shared" si="5"/>
        <v>2.5599999999999987</v>
      </c>
      <c r="U17" s="1">
        <f t="shared" si="6"/>
        <v>4.0959999999999974</v>
      </c>
      <c r="V17" s="90">
        <f t="shared" si="7"/>
        <v>6.5535999999999932</v>
      </c>
      <c r="W17" s="455" t="e">
        <f ca="1"/>
        <v>#NAME?</v>
      </c>
      <c r="X17" s="1" t="e">
        <f ca="1"/>
        <v>#NAME?</v>
      </c>
      <c r="Y17" s="1" t="e">
        <f ca="1"/>
        <v>#NAME?</v>
      </c>
      <c r="Z17" s="1" t="e">
        <f ca="1"/>
        <v>#NAME?</v>
      </c>
      <c r="AA17" s="90" t="e">
        <f ca="1"/>
        <v>#NAME?</v>
      </c>
      <c r="AB17" s="1" t="e">
        <f ca="1"/>
        <v>#NAME?</v>
      </c>
    </row>
    <row r="18" spans="1:28" ht="18" x14ac:dyDescent="0.2">
      <c r="A18" s="511" t="s">
        <v>404</v>
      </c>
      <c r="B18" s="1314" t="s">
        <v>252</v>
      </c>
      <c r="C18" s="1315"/>
      <c r="D18" s="1315"/>
      <c r="E18" s="1315"/>
      <c r="F18" s="1316"/>
      <c r="G18" s="1314" t="s">
        <v>403</v>
      </c>
      <c r="H18" s="1315"/>
      <c r="I18" s="1315"/>
      <c r="J18" s="1315"/>
      <c r="K18" s="1316"/>
      <c r="L18" s="1375" t="s">
        <v>402</v>
      </c>
      <c r="M18" s="1376"/>
      <c r="N18" s="1376"/>
      <c r="O18" s="1376"/>
      <c r="P18" s="1377"/>
      <c r="R18" s="455">
        <v>1</v>
      </c>
      <c r="S18" s="1">
        <f t="shared" si="8"/>
        <v>1.9999999999999996</v>
      </c>
      <c r="T18" s="1">
        <f t="shared" si="5"/>
        <v>3.9999999999999982</v>
      </c>
      <c r="U18" s="1">
        <f t="shared" si="6"/>
        <v>7.9999999999999947</v>
      </c>
      <c r="V18" s="90">
        <f t="shared" si="7"/>
        <v>15.999999999999986</v>
      </c>
      <c r="W18" s="455" t="e">
        <f ca="1"/>
        <v>#NAME?</v>
      </c>
      <c r="X18" s="1" t="e">
        <f ca="1"/>
        <v>#NAME?</v>
      </c>
      <c r="Y18" s="1" t="e">
        <f ca="1"/>
        <v>#NAME?</v>
      </c>
      <c r="Z18" s="1" t="e">
        <f ca="1"/>
        <v>#NAME?</v>
      </c>
      <c r="AA18" s="90" t="e">
        <f ca="1"/>
        <v>#NAME?</v>
      </c>
      <c r="AB18" s="1" t="e">
        <f ca="1"/>
        <v>#NAME?</v>
      </c>
    </row>
    <row r="19" spans="1:28" x14ac:dyDescent="0.2">
      <c r="A19" s="518">
        <v>0</v>
      </c>
      <c r="B19" s="81" t="e">
        <f t="array" aca="1" ref="B19:F23" ca="1">[5]!MSQRT(B13:F17)</f>
        <v>#NAME?</v>
      </c>
      <c r="C19" s="88" t="e">
        <f ca="1"/>
        <v>#NAME?</v>
      </c>
      <c r="D19" s="88" t="e">
        <f ca="1"/>
        <v>#NAME?</v>
      </c>
      <c r="E19" s="88" t="e">
        <f ca="1"/>
        <v>#NAME?</v>
      </c>
      <c r="F19" s="80" t="e">
        <f ca="1"/>
        <v>#NAME?</v>
      </c>
      <c r="G19" s="645" t="e">
        <f t="array" aca="1" ref="G19:K23" ca="1">MINVERSE(L)</f>
        <v>#NAME?</v>
      </c>
      <c r="H19" s="88" t="e">
        <f ca="1"/>
        <v>#NAME?</v>
      </c>
      <c r="I19" s="774" t="e">
        <f ca="1"/>
        <v>#NAME?</v>
      </c>
      <c r="J19" s="88" t="e">
        <f ca="1"/>
        <v>#NAME?</v>
      </c>
      <c r="K19" s="642" t="e">
        <f ca="1"/>
        <v>#NAME?</v>
      </c>
      <c r="L19" s="81" t="e">
        <f t="array" aca="1" ref="L19:P23" ca="1">MMULT(TRANSPOSE(W),W)</f>
        <v>#NAME?</v>
      </c>
      <c r="M19" s="88" t="e">
        <f ca="1"/>
        <v>#NAME?</v>
      </c>
      <c r="N19" s="88" t="e">
        <f ca="1"/>
        <v>#NAME?</v>
      </c>
      <c r="O19" s="88" t="e">
        <f ca="1"/>
        <v>#NAME?</v>
      </c>
      <c r="P19" s="80" t="e">
        <f ca="1"/>
        <v>#NAME?</v>
      </c>
      <c r="R19" s="455">
        <v>1</v>
      </c>
      <c r="S19" s="1">
        <f t="shared" si="8"/>
        <v>2.3999999999999995</v>
      </c>
      <c r="T19" s="1">
        <f t="shared" si="5"/>
        <v>5.7599999999999971</v>
      </c>
      <c r="U19" s="1">
        <f t="shared" si="6"/>
        <v>13.823999999999989</v>
      </c>
      <c r="V19" s="90">
        <f t="shared" si="7"/>
        <v>33.17759999999997</v>
      </c>
      <c r="W19" s="455" t="e">
        <f ca="1"/>
        <v>#NAME?</v>
      </c>
      <c r="X19" s="1" t="e">
        <f ca="1"/>
        <v>#NAME?</v>
      </c>
      <c r="Y19" s="1" t="e">
        <f ca="1"/>
        <v>#NAME?</v>
      </c>
      <c r="Z19" s="1" t="e">
        <f ca="1"/>
        <v>#NAME?</v>
      </c>
      <c r="AA19" s="90" t="e">
        <f ca="1"/>
        <v>#NAME?</v>
      </c>
      <c r="AB19" s="1" t="e">
        <f ca="1"/>
        <v>#NAME?</v>
      </c>
    </row>
    <row r="20" spans="1:28" x14ac:dyDescent="0.2">
      <c r="A20" s="515">
        <v>1</v>
      </c>
      <c r="B20" s="455" t="e">
        <f ca="1"/>
        <v>#NAME?</v>
      </c>
      <c r="C20" s="1" t="e">
        <f ca="1"/>
        <v>#NAME?</v>
      </c>
      <c r="D20" s="1" t="e">
        <f ca="1"/>
        <v>#NAME?</v>
      </c>
      <c r="E20" s="1" t="e">
        <f ca="1"/>
        <v>#NAME?</v>
      </c>
      <c r="F20" s="90" t="e">
        <f ca="1"/>
        <v>#NAME?</v>
      </c>
      <c r="G20" s="455" t="e">
        <f ca="1"/>
        <v>#NAME?</v>
      </c>
      <c r="H20" s="769" t="e">
        <f ca="1"/>
        <v>#NAME?</v>
      </c>
      <c r="I20" s="1" t="e">
        <f ca="1"/>
        <v>#NAME?</v>
      </c>
      <c r="J20" s="769" t="e">
        <f ca="1"/>
        <v>#NAME?</v>
      </c>
      <c r="K20" s="90" t="e">
        <f ca="1"/>
        <v>#NAME?</v>
      </c>
      <c r="L20" s="455" t="e">
        <f ca="1"/>
        <v>#NAME?</v>
      </c>
      <c r="M20" s="1" t="e">
        <f ca="1"/>
        <v>#NAME?</v>
      </c>
      <c r="N20" s="1" t="e">
        <f ca="1"/>
        <v>#NAME?</v>
      </c>
      <c r="O20" s="1" t="e">
        <f ca="1"/>
        <v>#NAME?</v>
      </c>
      <c r="P20" s="90" t="e">
        <f ca="1"/>
        <v>#NAME?</v>
      </c>
      <c r="R20" s="455">
        <v>1</v>
      </c>
      <c r="S20" s="1">
        <f t="shared" si="8"/>
        <v>2.7999999999999994</v>
      </c>
      <c r="T20" s="1">
        <f t="shared" si="5"/>
        <v>7.8399999999999963</v>
      </c>
      <c r="U20" s="1">
        <f t="shared" si="6"/>
        <v>21.951999999999984</v>
      </c>
      <c r="V20" s="90">
        <f t="shared" si="7"/>
        <v>61.465599999999945</v>
      </c>
      <c r="W20" s="455" t="e">
        <f ca="1"/>
        <v>#NAME?</v>
      </c>
      <c r="X20" s="1" t="e">
        <f ca="1"/>
        <v>#NAME?</v>
      </c>
      <c r="Y20" s="1" t="e">
        <f ca="1"/>
        <v>#NAME?</v>
      </c>
      <c r="Z20" s="1" t="e">
        <f ca="1"/>
        <v>#NAME?</v>
      </c>
      <c r="AA20" s="90" t="e">
        <f ca="1"/>
        <v>#NAME?</v>
      </c>
      <c r="AB20" s="1" t="e">
        <f ca="1"/>
        <v>#NAME?</v>
      </c>
    </row>
    <row r="21" spans="1:28" x14ac:dyDescent="0.2">
      <c r="A21" s="515">
        <v>2</v>
      </c>
      <c r="B21" s="455" t="e">
        <f ca="1"/>
        <v>#NAME?</v>
      </c>
      <c r="C21" s="1" t="e">
        <f ca="1"/>
        <v>#NAME?</v>
      </c>
      <c r="D21" s="1" t="e">
        <f ca="1"/>
        <v>#NAME?</v>
      </c>
      <c r="E21" s="1" t="e">
        <f ca="1"/>
        <v>#NAME?</v>
      </c>
      <c r="F21" s="90" t="e">
        <f ca="1"/>
        <v>#NAME?</v>
      </c>
      <c r="G21" s="653" t="e">
        <f ca="1"/>
        <v>#NAME?</v>
      </c>
      <c r="H21" s="1" t="e">
        <f ca="1"/>
        <v>#NAME?</v>
      </c>
      <c r="I21" s="769" t="e">
        <f ca="1"/>
        <v>#NAME?</v>
      </c>
      <c r="J21" s="1" t="e">
        <f ca="1"/>
        <v>#NAME?</v>
      </c>
      <c r="K21" s="651" t="e">
        <f ca="1"/>
        <v>#NAME?</v>
      </c>
      <c r="L21" s="455" t="e">
        <f ca="1"/>
        <v>#NAME?</v>
      </c>
      <c r="M21" s="1" t="e">
        <f ca="1"/>
        <v>#NAME?</v>
      </c>
      <c r="N21" s="1" t="e">
        <f ca="1"/>
        <v>#NAME?</v>
      </c>
      <c r="O21" s="1" t="e">
        <f ca="1"/>
        <v>#NAME?</v>
      </c>
      <c r="P21" s="90" t="e">
        <f ca="1"/>
        <v>#NAME?</v>
      </c>
      <c r="R21" s="455">
        <v>1</v>
      </c>
      <c r="S21" s="1">
        <f t="shared" si="8"/>
        <v>3.1999999999999993</v>
      </c>
      <c r="T21" s="1">
        <f t="shared" si="5"/>
        <v>10.239999999999995</v>
      </c>
      <c r="U21" s="1">
        <f t="shared" si="6"/>
        <v>32.767999999999979</v>
      </c>
      <c r="V21" s="90">
        <f t="shared" si="7"/>
        <v>104.85759999999989</v>
      </c>
      <c r="W21" s="455" t="e">
        <f ca="1"/>
        <v>#NAME?</v>
      </c>
      <c r="X21" s="1" t="e">
        <f ca="1"/>
        <v>#NAME?</v>
      </c>
      <c r="Y21" s="1" t="e">
        <f ca="1"/>
        <v>#NAME?</v>
      </c>
      <c r="Z21" s="1" t="e">
        <f ca="1"/>
        <v>#NAME?</v>
      </c>
      <c r="AA21" s="90" t="e">
        <f ca="1"/>
        <v>#NAME?</v>
      </c>
      <c r="AB21" s="1" t="e">
        <f ca="1"/>
        <v>#NAME?</v>
      </c>
    </row>
    <row r="22" spans="1:28" x14ac:dyDescent="0.2">
      <c r="A22" s="515">
        <v>3</v>
      </c>
      <c r="B22" s="455" t="e">
        <f ca="1"/>
        <v>#NAME?</v>
      </c>
      <c r="C22" s="1" t="e">
        <f ca="1"/>
        <v>#NAME?</v>
      </c>
      <c r="D22" s="1" t="e">
        <f ca="1"/>
        <v>#NAME?</v>
      </c>
      <c r="E22" s="1" t="e">
        <f ca="1"/>
        <v>#NAME?</v>
      </c>
      <c r="F22" s="90" t="e">
        <f ca="1"/>
        <v>#NAME?</v>
      </c>
      <c r="G22" s="455" t="e">
        <f ca="1"/>
        <v>#NAME?</v>
      </c>
      <c r="H22" s="769" t="e">
        <f ca="1"/>
        <v>#NAME?</v>
      </c>
      <c r="I22" s="1" t="e">
        <f ca="1"/>
        <v>#NAME?</v>
      </c>
      <c r="J22" s="769" t="e">
        <f ca="1"/>
        <v>#NAME?</v>
      </c>
      <c r="K22" s="90" t="e">
        <f ca="1"/>
        <v>#NAME?</v>
      </c>
      <c r="L22" s="455" t="e">
        <f ca="1"/>
        <v>#NAME?</v>
      </c>
      <c r="M22" s="1" t="e">
        <f ca="1"/>
        <v>#NAME?</v>
      </c>
      <c r="N22" s="1" t="e">
        <f ca="1"/>
        <v>#NAME?</v>
      </c>
      <c r="O22" s="1" t="e">
        <f ca="1"/>
        <v>#NAME?</v>
      </c>
      <c r="P22" s="90" t="e">
        <f ca="1"/>
        <v>#NAME?</v>
      </c>
      <c r="R22" s="455">
        <v>1</v>
      </c>
      <c r="S22" s="1">
        <f t="shared" si="8"/>
        <v>3.5999999999999992</v>
      </c>
      <c r="T22" s="1">
        <f t="shared" si="5"/>
        <v>12.959999999999994</v>
      </c>
      <c r="U22" s="1">
        <f t="shared" si="6"/>
        <v>46.65599999999997</v>
      </c>
      <c r="V22" s="90">
        <f t="shared" si="7"/>
        <v>167.96159999999983</v>
      </c>
      <c r="W22" s="455" t="e">
        <f ca="1"/>
        <v>#NAME?</v>
      </c>
      <c r="X22" s="1" t="e">
        <f ca="1"/>
        <v>#NAME?</v>
      </c>
      <c r="Y22" s="1" t="e">
        <f ca="1"/>
        <v>#NAME?</v>
      </c>
      <c r="Z22" s="1" t="e">
        <f ca="1"/>
        <v>#NAME?</v>
      </c>
      <c r="AA22" s="90" t="e">
        <f ca="1"/>
        <v>#NAME?</v>
      </c>
      <c r="AB22" s="1" t="e">
        <f ca="1"/>
        <v>#NAME?</v>
      </c>
    </row>
    <row r="23" spans="1:28" x14ac:dyDescent="0.2">
      <c r="A23" s="513">
        <v>4</v>
      </c>
      <c r="B23" s="106" t="e">
        <f ca="1"/>
        <v>#NAME?</v>
      </c>
      <c r="C23" s="76" t="e">
        <f ca="1"/>
        <v>#NAME?</v>
      </c>
      <c r="D23" s="76" t="e">
        <f ca="1"/>
        <v>#NAME?</v>
      </c>
      <c r="E23" s="76" t="e">
        <f ca="1"/>
        <v>#NAME?</v>
      </c>
      <c r="F23" s="77" t="e">
        <f ca="1"/>
        <v>#NAME?</v>
      </c>
      <c r="G23" s="639" t="e">
        <f ca="1"/>
        <v>#NAME?</v>
      </c>
      <c r="H23" s="76" t="e">
        <f ca="1"/>
        <v>#NAME?</v>
      </c>
      <c r="I23" s="974" t="e">
        <f ca="1"/>
        <v>#NAME?</v>
      </c>
      <c r="J23" s="76" t="e">
        <f ca="1"/>
        <v>#NAME?</v>
      </c>
      <c r="K23" s="638" t="e">
        <f ca="1"/>
        <v>#NAME?</v>
      </c>
      <c r="L23" s="106" t="e">
        <f ca="1"/>
        <v>#NAME?</v>
      </c>
      <c r="M23" s="76" t="e">
        <f ca="1"/>
        <v>#NAME?</v>
      </c>
      <c r="N23" s="76" t="e">
        <f ca="1"/>
        <v>#NAME?</v>
      </c>
      <c r="O23" s="76" t="e">
        <f ca="1"/>
        <v>#NAME?</v>
      </c>
      <c r="P23" s="77" t="e">
        <f ca="1"/>
        <v>#NAME?</v>
      </c>
      <c r="R23" s="106">
        <v>1</v>
      </c>
      <c r="S23" s="76">
        <f t="shared" si="8"/>
        <v>3.9999999999999991</v>
      </c>
      <c r="T23" s="76">
        <f t="shared" si="5"/>
        <v>15.999999999999993</v>
      </c>
      <c r="U23" s="76">
        <f t="shared" si="6"/>
        <v>63.999999999999957</v>
      </c>
      <c r="V23" s="77">
        <f t="shared" si="7"/>
        <v>255.99999999999977</v>
      </c>
      <c r="W23" s="106" t="e">
        <f ca="1"/>
        <v>#NAME?</v>
      </c>
      <c r="X23" s="76" t="e">
        <f ca="1"/>
        <v>#NAME?</v>
      </c>
      <c r="Y23" s="76" t="e">
        <f ca="1"/>
        <v>#NAME?</v>
      </c>
      <c r="Z23" s="76" t="e">
        <f ca="1"/>
        <v>#NAME?</v>
      </c>
      <c r="AA23" s="77" t="e">
        <f ca="1"/>
        <v>#NAME?</v>
      </c>
      <c r="AB23" s="1" t="e">
        <f ca="1"/>
        <v>#NAME?</v>
      </c>
    </row>
  </sheetData>
  <mergeCells count="7">
    <mergeCell ref="L18:P18"/>
    <mergeCell ref="B1:F1"/>
    <mergeCell ref="G1:K1"/>
    <mergeCell ref="B12:F12"/>
    <mergeCell ref="G12:K12"/>
    <mergeCell ref="B18:F18"/>
    <mergeCell ref="G18:K18"/>
  </mergeCells>
  <conditionalFormatting sqref="L19:P23">
    <cfRule type="cellIs" dxfId="68" priority="1" operator="between">
      <formula>-0.0001</formula>
      <formula>0.0001</formula>
    </cfRule>
  </conditionalFormatting>
  <pageMargins left="0.7" right="0.7" top="0.75" bottom="0.75" header="0.3" footer="0.3"/>
  <pageSetup orientation="portrait" horizontalDpi="0" verticalDpi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4720A-17E7-4747-80E4-5D693D4822BA}">
  <dimension ref="A1:BC89"/>
  <sheetViews>
    <sheetView zoomScaleNormal="100" workbookViewId="0">
      <pane ySplit="2" topLeftCell="A3" activePane="bottomLeft" state="frozen"/>
      <selection pane="bottomLeft" activeCell="AA19" sqref="AA19"/>
    </sheetView>
  </sheetViews>
  <sheetFormatPr baseColWidth="10" defaultColWidth="6.83203125" defaultRowHeight="15" customHeight="1" x14ac:dyDescent="0.2"/>
  <cols>
    <col min="1" max="1" width="3.83203125" style="875" customWidth="1"/>
    <col min="2" max="11" width="6.83203125" style="875" customWidth="1"/>
    <col min="12" max="12" width="3.83203125" style="875" customWidth="1"/>
    <col min="13" max="22" width="6.83203125" style="875" customWidth="1"/>
    <col min="23" max="23" width="3.83203125" style="875" customWidth="1"/>
    <col min="24" max="32" width="6.83203125" style="875" customWidth="1"/>
    <col min="33" max="33" width="7" style="875" bestFit="1" customWidth="1"/>
    <col min="34" max="34" width="6.83203125" style="875" customWidth="1"/>
    <col min="35" max="37" width="6.83203125" style="877" customWidth="1"/>
    <col min="38" max="41" width="6.83203125" style="876" customWidth="1"/>
    <col min="42" max="45" width="6.83203125" style="876"/>
    <col min="46" max="48" width="6.83203125" style="876" customWidth="1"/>
    <col min="49" max="49" width="6.83203125" style="875" customWidth="1"/>
    <col min="50" max="16384" width="6.83203125" style="875"/>
  </cols>
  <sheetData>
    <row r="1" spans="1:51" ht="15" customHeight="1" x14ac:dyDescent="0.2">
      <c r="B1" s="1388" t="s">
        <v>14</v>
      </c>
      <c r="C1" s="1389"/>
      <c r="D1" s="1389"/>
      <c r="E1" s="1389"/>
      <c r="F1" s="1389"/>
      <c r="G1" s="1389"/>
      <c r="H1" s="1389"/>
      <c r="I1" s="1389"/>
      <c r="J1" s="1389"/>
      <c r="K1" s="1390"/>
      <c r="M1" s="1388" t="s">
        <v>401</v>
      </c>
      <c r="N1" s="1389"/>
      <c r="O1" s="1389"/>
      <c r="P1" s="1389"/>
      <c r="Q1" s="1389"/>
      <c r="R1" s="1389"/>
      <c r="S1" s="1389"/>
      <c r="T1" s="1389"/>
      <c r="U1" s="1389"/>
      <c r="V1" s="1390"/>
      <c r="W1" s="897"/>
      <c r="X1" s="1383" t="s">
        <v>400</v>
      </c>
      <c r="Y1" s="1384"/>
      <c r="Z1" s="1385"/>
      <c r="AA1" s="931"/>
      <c r="AB1" s="1317" t="s">
        <v>399</v>
      </c>
      <c r="AC1" s="1318"/>
      <c r="AD1" s="1318"/>
      <c r="AE1" s="1319"/>
      <c r="AF1" s="1"/>
      <c r="AG1" s="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</row>
    <row r="2" spans="1:51" ht="18" customHeight="1" x14ac:dyDescent="0.2">
      <c r="A2" s="929" t="s">
        <v>10</v>
      </c>
      <c r="B2" s="929">
        <v>0</v>
      </c>
      <c r="C2" s="929">
        <v>1</v>
      </c>
      <c r="D2" s="898">
        <v>2</v>
      </c>
      <c r="E2" s="897">
        <v>3</v>
      </c>
      <c r="F2" s="898">
        <v>12</v>
      </c>
      <c r="G2" s="898">
        <v>13</v>
      </c>
      <c r="H2" s="898">
        <v>23</v>
      </c>
      <c r="I2" s="929">
        <v>11</v>
      </c>
      <c r="J2" s="898">
        <v>22</v>
      </c>
      <c r="K2" s="897">
        <v>33</v>
      </c>
      <c r="L2" s="929" t="s">
        <v>10</v>
      </c>
      <c r="M2" s="929">
        <v>0</v>
      </c>
      <c r="N2" s="929">
        <v>1</v>
      </c>
      <c r="O2" s="898">
        <v>2</v>
      </c>
      <c r="P2" s="897">
        <v>3</v>
      </c>
      <c r="Q2" s="898">
        <v>12</v>
      </c>
      <c r="R2" s="898">
        <v>13</v>
      </c>
      <c r="S2" s="898">
        <v>23</v>
      </c>
      <c r="T2" s="929">
        <v>11</v>
      </c>
      <c r="U2" s="898">
        <v>22</v>
      </c>
      <c r="V2" s="897">
        <v>33</v>
      </c>
      <c r="W2" s="929" t="s">
        <v>10</v>
      </c>
      <c r="X2" s="929" t="s">
        <v>398</v>
      </c>
      <c r="Y2" s="970" t="s">
        <v>397</v>
      </c>
      <c r="Z2" s="969" t="s">
        <v>396</v>
      </c>
      <c r="AA2" s="899" t="s">
        <v>219</v>
      </c>
      <c r="AB2" s="929" t="s">
        <v>395</v>
      </c>
      <c r="AC2" s="898" t="s">
        <v>394</v>
      </c>
      <c r="AD2" s="898" t="s">
        <v>393</v>
      </c>
      <c r="AE2" s="897" t="s">
        <v>392</v>
      </c>
      <c r="AF2" s="1"/>
      <c r="AG2" s="1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</row>
    <row r="3" spans="1:51" ht="15" customHeight="1" x14ac:dyDescent="0.2">
      <c r="A3" s="924">
        <v>1</v>
      </c>
      <c r="B3" s="968">
        <v>1</v>
      </c>
      <c r="C3" s="919">
        <v>-0.76067965209951183</v>
      </c>
      <c r="D3" s="918">
        <v>-0.78143878953439683</v>
      </c>
      <c r="E3" s="917">
        <v>0.57820542434009958</v>
      </c>
      <c r="F3" s="918">
        <f t="shared" ref="F3:F18" si="0">C3*D3</f>
        <v>0.59442458656008867</v>
      </c>
      <c r="G3" s="918">
        <f t="shared" ref="G3:G18" si="1">C3*E3</f>
        <v>-0.43982910102907757</v>
      </c>
      <c r="H3" s="918">
        <f t="shared" ref="H3:H18" si="2">D3*E3</f>
        <v>-0.45183214689854967</v>
      </c>
      <c r="I3" s="919">
        <f t="shared" ref="I3:I18" si="3">C3^2</f>
        <v>0.5786335331182344</v>
      </c>
      <c r="J3" s="918">
        <f t="shared" ref="J3:J18" si="4">D3*D3</f>
        <v>0.61064658178898334</v>
      </c>
      <c r="K3" s="917">
        <f t="shared" ref="K3:K18" si="5">E3^2</f>
        <v>0.33432151273631461</v>
      </c>
      <c r="L3" s="924">
        <v>1</v>
      </c>
      <c r="M3" s="517" t="e">
        <f t="array" aca="1" ref="M3:V18" ca="1">MMULT(X,ͶS_adj_Inv)</f>
        <v>#NAME?</v>
      </c>
      <c r="N3" s="523" t="e">
        <f ca="1"/>
        <v>#NAME?</v>
      </c>
      <c r="O3" s="522" t="e">
        <f ca="1"/>
        <v>#NAME?</v>
      </c>
      <c r="P3" s="124" t="e">
        <f ca="1"/>
        <v>#NAME?</v>
      </c>
      <c r="Q3" s="523" t="e">
        <f ca="1"/>
        <v>#NAME?</v>
      </c>
      <c r="R3" s="522" t="e">
        <f ca="1"/>
        <v>#NAME?</v>
      </c>
      <c r="S3" s="124" t="e">
        <f ca="1"/>
        <v>#NAME?</v>
      </c>
      <c r="T3" s="523" t="e">
        <f ca="1"/>
        <v>#NAME?</v>
      </c>
      <c r="U3" s="522" t="e">
        <f ca="1"/>
        <v>#NAME?</v>
      </c>
      <c r="V3" s="124" t="e">
        <f ca="1"/>
        <v>#NAME?</v>
      </c>
      <c r="W3" s="924">
        <v>1</v>
      </c>
      <c r="X3" s="919" t="e">
        <f t="array" aca="1" ref="X3:X18" ca="1">MMULT(U,b)</f>
        <v>#NAME?</v>
      </c>
      <c r="Y3" s="918" t="e">
        <f t="array" aca="1" ref="Y3:Y18" ca="1">MMULT(X,a)</f>
        <v>#NAME?</v>
      </c>
      <c r="Z3" s="663" t="e">
        <f t="array" aca="1" ref="Z3:Z18" ca="1">MMULT(Q_adj,d)</f>
        <v>#NAME?</v>
      </c>
      <c r="AA3" s="919">
        <v>-0.12124853279636133</v>
      </c>
      <c r="AB3" s="919" t="e">
        <f t="array" aca="1" ref="AB3:AB18" ca="1">MMULT(X_0,a_0)</f>
        <v>#NAME?</v>
      </c>
      <c r="AC3" s="918" t="e">
        <f t="array" aca="1" ref="AC3:AC18" ca="1">MMULT(X_1,a_1)</f>
        <v>#NAME?</v>
      </c>
      <c r="AD3" s="918" t="e">
        <f t="array" aca="1" ref="AD3:AD18" ca="1">MMULT(X_2,a_2)</f>
        <v>#NAME?</v>
      </c>
      <c r="AE3" s="917" t="e">
        <f t="array" aca="1" ref="AE3:AE18" ca="1">MMULT(X_3,a_3)</f>
        <v>#NAME?</v>
      </c>
      <c r="AF3" s="1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</row>
    <row r="4" spans="1:51" ht="15" customHeight="1" x14ac:dyDescent="0.2">
      <c r="A4" s="913">
        <v>2</v>
      </c>
      <c r="B4" s="965">
        <v>1</v>
      </c>
      <c r="C4" s="910">
        <v>-0.47929175845071614</v>
      </c>
      <c r="D4" s="876">
        <v>0.16206974033823496</v>
      </c>
      <c r="E4" s="909">
        <v>-0.95107520959190395</v>
      </c>
      <c r="F4" s="876">
        <f t="shared" si="0"/>
        <v>-7.7678690838363595E-2</v>
      </c>
      <c r="G4" s="876">
        <f t="shared" si="1"/>
        <v>0.45584250962418704</v>
      </c>
      <c r="H4" s="876">
        <f t="shared" si="2"/>
        <v>-0.15414051226069225</v>
      </c>
      <c r="I4" s="910">
        <f t="shared" si="3"/>
        <v>0.22972058971877962</v>
      </c>
      <c r="J4" s="876">
        <f t="shared" si="4"/>
        <v>2.6266600733302902E-2</v>
      </c>
      <c r="K4" s="909">
        <f t="shared" si="5"/>
        <v>0.90454405430028406</v>
      </c>
      <c r="L4" s="913">
        <v>2</v>
      </c>
      <c r="M4" s="35" t="e">
        <f ca="1"/>
        <v>#NAME?</v>
      </c>
      <c r="N4" s="514" t="e">
        <f ca="1"/>
        <v>#NAME?</v>
      </c>
      <c r="O4" s="36" t="e">
        <f ca="1"/>
        <v>#NAME?</v>
      </c>
      <c r="P4" s="37" t="e">
        <f ca="1"/>
        <v>#NAME?</v>
      </c>
      <c r="Q4" s="514" t="e">
        <f ca="1"/>
        <v>#NAME?</v>
      </c>
      <c r="R4" s="36" t="e">
        <f ca="1"/>
        <v>#NAME?</v>
      </c>
      <c r="S4" s="37" t="e">
        <f ca="1"/>
        <v>#NAME?</v>
      </c>
      <c r="T4" s="514" t="e">
        <f ca="1"/>
        <v>#NAME?</v>
      </c>
      <c r="U4" s="36" t="e">
        <f ca="1"/>
        <v>#NAME?</v>
      </c>
      <c r="V4" s="37" t="e">
        <f ca="1"/>
        <v>#NAME?</v>
      </c>
      <c r="W4" s="913">
        <v>2</v>
      </c>
      <c r="X4" s="910" t="e">
        <f ca="1"/>
        <v>#NAME?</v>
      </c>
      <c r="Y4" s="876" t="e">
        <f ca="1"/>
        <v>#NAME?</v>
      </c>
      <c r="Z4" s="967" t="e">
        <f ca="1"/>
        <v>#NAME?</v>
      </c>
      <c r="AA4" s="910">
        <v>-0.54976676743830333</v>
      </c>
      <c r="AB4" s="910" t="e">
        <f ca="1"/>
        <v>#NAME?</v>
      </c>
      <c r="AC4" s="876" t="e">
        <f ca="1"/>
        <v>#NAME?</v>
      </c>
      <c r="AD4" s="876" t="e">
        <f ca="1"/>
        <v>#NAME?</v>
      </c>
      <c r="AE4" s="909" t="e">
        <f ca="1"/>
        <v>#NAME?</v>
      </c>
      <c r="AF4" s="1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</row>
    <row r="5" spans="1:51" ht="15" customHeight="1" x14ac:dyDescent="0.2">
      <c r="A5" s="913">
        <v>3</v>
      </c>
      <c r="B5" s="965">
        <v>1</v>
      </c>
      <c r="C5" s="910">
        <v>-0.41510647164706849</v>
      </c>
      <c r="D5" s="876">
        <v>0.80469754912974745</v>
      </c>
      <c r="E5" s="909">
        <v>-0.82438171230858681</v>
      </c>
      <c r="F5" s="876">
        <f t="shared" si="0"/>
        <v>-0.33403516036229303</v>
      </c>
      <c r="G5" s="876">
        <f t="shared" si="1"/>
        <v>0.34220618388678614</v>
      </c>
      <c r="H5" s="876">
        <f t="shared" si="2"/>
        <v>-0.66337794344210432</v>
      </c>
      <c r="I5" s="910">
        <f t="shared" si="3"/>
        <v>0.17231338280327849</v>
      </c>
      <c r="J5" s="876">
        <f t="shared" si="4"/>
        <v>0.64753814557542233</v>
      </c>
      <c r="K5" s="909">
        <f t="shared" si="5"/>
        <v>0.67960520758883758</v>
      </c>
      <c r="L5" s="913">
        <v>3</v>
      </c>
      <c r="M5" s="35" t="e">
        <f ca="1"/>
        <v>#NAME?</v>
      </c>
      <c r="N5" s="514" t="e">
        <f ca="1"/>
        <v>#NAME?</v>
      </c>
      <c r="O5" s="36" t="e">
        <f ca="1"/>
        <v>#NAME?</v>
      </c>
      <c r="P5" s="37" t="e">
        <f ca="1"/>
        <v>#NAME?</v>
      </c>
      <c r="Q5" s="514" t="e">
        <f ca="1"/>
        <v>#NAME?</v>
      </c>
      <c r="R5" s="36" t="e">
        <f ca="1"/>
        <v>#NAME?</v>
      </c>
      <c r="S5" s="37" t="e">
        <f ca="1"/>
        <v>#NAME?</v>
      </c>
      <c r="T5" s="514" t="e">
        <f ca="1"/>
        <v>#NAME?</v>
      </c>
      <c r="U5" s="36" t="e">
        <f ca="1"/>
        <v>#NAME?</v>
      </c>
      <c r="V5" s="37" t="e">
        <f ca="1"/>
        <v>#NAME?</v>
      </c>
      <c r="W5" s="913">
        <v>3</v>
      </c>
      <c r="X5" s="910" t="e">
        <f ca="1"/>
        <v>#NAME?</v>
      </c>
      <c r="Y5" s="876" t="e">
        <f ca="1"/>
        <v>#NAME?</v>
      </c>
      <c r="Z5" s="967" t="e">
        <f ca="1"/>
        <v>#NAME?</v>
      </c>
      <c r="AA5" s="910">
        <v>-1.441748941974955</v>
      </c>
      <c r="AB5" s="910" t="e">
        <f ca="1"/>
        <v>#NAME?</v>
      </c>
      <c r="AC5" s="876" t="e">
        <f ca="1"/>
        <v>#NAME?</v>
      </c>
      <c r="AD5" s="876" t="e">
        <f ca="1"/>
        <v>#NAME?</v>
      </c>
      <c r="AE5" s="909" t="e">
        <f ca="1"/>
        <v>#NAME?</v>
      </c>
      <c r="AF5" s="1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</row>
    <row r="6" spans="1:51" ht="15" customHeight="1" x14ac:dyDescent="0.2">
      <c r="A6" s="913">
        <v>4</v>
      </c>
      <c r="B6" s="965">
        <v>1</v>
      </c>
      <c r="C6" s="910">
        <v>-0.39376164634859578</v>
      </c>
      <c r="D6" s="876">
        <v>-0.32050114642590266</v>
      </c>
      <c r="E6" s="909">
        <v>0.87830749557774013</v>
      </c>
      <c r="F6" s="876">
        <f t="shared" si="0"/>
        <v>0.12620105907327581</v>
      </c>
      <c r="G6" s="876">
        <f t="shared" si="1"/>
        <v>-0.34584380545900295</v>
      </c>
      <c r="H6" s="876">
        <f t="shared" si="2"/>
        <v>-0.28149855924712913</v>
      </c>
      <c r="I6" s="910">
        <f t="shared" si="3"/>
        <v>0.15504823413515662</v>
      </c>
      <c r="J6" s="876">
        <f t="shared" si="4"/>
        <v>0.1027209848603179</v>
      </c>
      <c r="K6" s="909">
        <f t="shared" si="5"/>
        <v>0.77142405678804205</v>
      </c>
      <c r="L6" s="913">
        <v>4</v>
      </c>
      <c r="M6" s="35" t="e">
        <f ca="1"/>
        <v>#NAME?</v>
      </c>
      <c r="N6" s="514" t="e">
        <f ca="1"/>
        <v>#NAME?</v>
      </c>
      <c r="O6" s="36" t="e">
        <f ca="1"/>
        <v>#NAME?</v>
      </c>
      <c r="P6" s="37" t="e">
        <f ca="1"/>
        <v>#NAME?</v>
      </c>
      <c r="Q6" s="514" t="e">
        <f ca="1"/>
        <v>#NAME?</v>
      </c>
      <c r="R6" s="36" t="e">
        <f ca="1"/>
        <v>#NAME?</v>
      </c>
      <c r="S6" s="37" t="e">
        <f ca="1"/>
        <v>#NAME?</v>
      </c>
      <c r="T6" s="514" t="e">
        <f ca="1"/>
        <v>#NAME?</v>
      </c>
      <c r="U6" s="36" t="e">
        <f ca="1"/>
        <v>#NAME?</v>
      </c>
      <c r="V6" s="37" t="e">
        <f ca="1"/>
        <v>#NAME?</v>
      </c>
      <c r="W6" s="913">
        <v>4</v>
      </c>
      <c r="X6" s="910" t="e">
        <f ca="1"/>
        <v>#NAME?</v>
      </c>
      <c r="Y6" s="876" t="e">
        <f ca="1"/>
        <v>#NAME?</v>
      </c>
      <c r="Z6" s="967" t="e">
        <f ca="1"/>
        <v>#NAME?</v>
      </c>
      <c r="AA6" s="910">
        <v>-1.1821300622660971</v>
      </c>
      <c r="AB6" s="910" t="e">
        <f ca="1"/>
        <v>#NAME?</v>
      </c>
      <c r="AC6" s="876" t="e">
        <f ca="1"/>
        <v>#NAME?</v>
      </c>
      <c r="AD6" s="876" t="e">
        <f ca="1"/>
        <v>#NAME?</v>
      </c>
      <c r="AE6" s="909" t="e">
        <f ca="1"/>
        <v>#NAME?</v>
      </c>
      <c r="AF6" s="1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</row>
    <row r="7" spans="1:51" ht="15" customHeight="1" x14ac:dyDescent="0.2">
      <c r="A7" s="913">
        <v>5</v>
      </c>
      <c r="B7" s="965">
        <v>1</v>
      </c>
      <c r="C7" s="910">
        <v>-0.29501104594712024</v>
      </c>
      <c r="D7" s="876">
        <v>-0.99877841165635295</v>
      </c>
      <c r="E7" s="909">
        <v>-0.75888658477771131</v>
      </c>
      <c r="F7" s="876">
        <f t="shared" si="0"/>
        <v>0.29465066389214412</v>
      </c>
      <c r="G7" s="876">
        <f t="shared" si="1"/>
        <v>0.22387992513051055</v>
      </c>
      <c r="H7" s="876">
        <f t="shared" si="2"/>
        <v>0.75795953777159675</v>
      </c>
      <c r="I7" s="910">
        <f t="shared" si="3"/>
        <v>8.7031517230813885E-2</v>
      </c>
      <c r="J7" s="876">
        <f t="shared" si="4"/>
        <v>0.99755831559078723</v>
      </c>
      <c r="K7" s="909">
        <f t="shared" si="5"/>
        <v>0.57590884855557845</v>
      </c>
      <c r="L7" s="913">
        <v>5</v>
      </c>
      <c r="M7" s="35" t="e">
        <f ca="1"/>
        <v>#NAME?</v>
      </c>
      <c r="N7" s="514" t="e">
        <f ca="1"/>
        <v>#NAME?</v>
      </c>
      <c r="O7" s="36" t="e">
        <f ca="1"/>
        <v>#NAME?</v>
      </c>
      <c r="P7" s="37" t="e">
        <f ca="1"/>
        <v>#NAME?</v>
      </c>
      <c r="Q7" s="514" t="e">
        <f ca="1"/>
        <v>#NAME?</v>
      </c>
      <c r="R7" s="36" t="e">
        <f ca="1"/>
        <v>#NAME?</v>
      </c>
      <c r="S7" s="37" t="e">
        <f ca="1"/>
        <v>#NAME?</v>
      </c>
      <c r="T7" s="514" t="e">
        <f ca="1"/>
        <v>#NAME?</v>
      </c>
      <c r="U7" s="36" t="e">
        <f ca="1"/>
        <v>#NAME?</v>
      </c>
      <c r="V7" s="37" t="e">
        <f ca="1"/>
        <v>#NAME?</v>
      </c>
      <c r="W7" s="913">
        <v>5</v>
      </c>
      <c r="X7" s="910" t="e">
        <f ca="1"/>
        <v>#NAME?</v>
      </c>
      <c r="Y7" s="876" t="e">
        <f ca="1"/>
        <v>#NAME?</v>
      </c>
      <c r="Z7" s="967" t="e">
        <f ca="1"/>
        <v>#NAME?</v>
      </c>
      <c r="AA7" s="910">
        <v>1.5156269782035814</v>
      </c>
      <c r="AB7" s="910" t="e">
        <f ca="1"/>
        <v>#NAME?</v>
      </c>
      <c r="AC7" s="876" t="e">
        <f ca="1"/>
        <v>#NAME?</v>
      </c>
      <c r="AD7" s="876" t="e">
        <f ca="1"/>
        <v>#NAME?</v>
      </c>
      <c r="AE7" s="909" t="e">
        <f ca="1"/>
        <v>#NAME?</v>
      </c>
      <c r="AF7" s="1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</row>
    <row r="8" spans="1:51" ht="15" customHeight="1" x14ac:dyDescent="0.2">
      <c r="A8" s="913">
        <v>6</v>
      </c>
      <c r="B8" s="965">
        <v>1</v>
      </c>
      <c r="C8" s="910">
        <v>-0.29098885517716822</v>
      </c>
      <c r="D8" s="876">
        <v>8.327614326328403E-2</v>
      </c>
      <c r="E8" s="909">
        <v>0.35708466323057619</v>
      </c>
      <c r="F8" s="876">
        <f t="shared" si="0"/>
        <v>-2.4232429591752869E-2</v>
      </c>
      <c r="G8" s="876">
        <f t="shared" si="1"/>
        <v>-0.10390765735479002</v>
      </c>
      <c r="H8" s="876">
        <f t="shared" si="2"/>
        <v>2.9736633572310996E-2</v>
      </c>
      <c r="I8" s="910">
        <f t="shared" si="3"/>
        <v>8.4674513837318971E-2</v>
      </c>
      <c r="J8" s="876">
        <f t="shared" si="4"/>
        <v>6.9349160368070064E-3</v>
      </c>
      <c r="K8" s="909">
        <f t="shared" si="5"/>
        <v>0.12750945671449401</v>
      </c>
      <c r="L8" s="913">
        <v>6</v>
      </c>
      <c r="M8" s="35" t="e">
        <f ca="1"/>
        <v>#NAME?</v>
      </c>
      <c r="N8" s="514" t="e">
        <f ca="1"/>
        <v>#NAME?</v>
      </c>
      <c r="O8" s="36" t="e">
        <f ca="1"/>
        <v>#NAME?</v>
      </c>
      <c r="P8" s="37" t="e">
        <f ca="1"/>
        <v>#NAME?</v>
      </c>
      <c r="Q8" s="514" t="e">
        <f ca="1"/>
        <v>#NAME?</v>
      </c>
      <c r="R8" s="36" t="e">
        <f ca="1"/>
        <v>#NAME?</v>
      </c>
      <c r="S8" s="37" t="e">
        <f ca="1"/>
        <v>#NAME?</v>
      </c>
      <c r="T8" s="514" t="e">
        <f ca="1"/>
        <v>#NAME?</v>
      </c>
      <c r="U8" s="36" t="e">
        <f ca="1"/>
        <v>#NAME?</v>
      </c>
      <c r="V8" s="37" t="e">
        <f ca="1"/>
        <v>#NAME?</v>
      </c>
      <c r="W8" s="913">
        <v>6</v>
      </c>
      <c r="X8" s="910" t="e">
        <f ca="1"/>
        <v>#NAME?</v>
      </c>
      <c r="Y8" s="876" t="e">
        <f ca="1"/>
        <v>#NAME?</v>
      </c>
      <c r="Z8" s="967" t="e">
        <f ca="1"/>
        <v>#NAME?</v>
      </c>
      <c r="AA8" s="910">
        <v>-0.42007418340932995</v>
      </c>
      <c r="AB8" s="910" t="e">
        <f ca="1"/>
        <v>#NAME?</v>
      </c>
      <c r="AC8" s="876" t="e">
        <f ca="1"/>
        <v>#NAME?</v>
      </c>
      <c r="AD8" s="876" t="e">
        <f ca="1"/>
        <v>#NAME?</v>
      </c>
      <c r="AE8" s="909" t="e">
        <f ca="1"/>
        <v>#NAME?</v>
      </c>
      <c r="AF8" s="1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</row>
    <row r="9" spans="1:51" ht="15" customHeight="1" x14ac:dyDescent="0.2">
      <c r="A9" s="913">
        <v>7</v>
      </c>
      <c r="B9" s="965">
        <v>1</v>
      </c>
      <c r="C9" s="910">
        <v>-0.23240678389144986</v>
      </c>
      <c r="D9" s="876">
        <v>-0.68429746073893782</v>
      </c>
      <c r="E9" s="909">
        <v>-0.6692759363259575</v>
      </c>
      <c r="F9" s="876">
        <f t="shared" si="0"/>
        <v>0.15903537207542223</v>
      </c>
      <c r="G9" s="876">
        <f t="shared" si="1"/>
        <v>0.15554426789745457</v>
      </c>
      <c r="H9" s="876">
        <f t="shared" si="2"/>
        <v>0.45798382376152774</v>
      </c>
      <c r="I9" s="910">
        <f t="shared" si="3"/>
        <v>5.4012913198767082E-2</v>
      </c>
      <c r="J9" s="876">
        <f t="shared" si="4"/>
        <v>0.46826301477375815</v>
      </c>
      <c r="K9" s="909">
        <f t="shared" si="5"/>
        <v>0.4479302789449871</v>
      </c>
      <c r="L9" s="913">
        <v>7</v>
      </c>
      <c r="M9" s="35" t="e">
        <f ca="1"/>
        <v>#NAME?</v>
      </c>
      <c r="N9" s="514" t="e">
        <f ca="1"/>
        <v>#NAME?</v>
      </c>
      <c r="O9" s="36" t="e">
        <f ca="1"/>
        <v>#NAME?</v>
      </c>
      <c r="P9" s="37" t="e">
        <f ca="1"/>
        <v>#NAME?</v>
      </c>
      <c r="Q9" s="514" t="e">
        <f ca="1"/>
        <v>#NAME?</v>
      </c>
      <c r="R9" s="36" t="e">
        <f ca="1"/>
        <v>#NAME?</v>
      </c>
      <c r="S9" s="37" t="e">
        <f ca="1"/>
        <v>#NAME?</v>
      </c>
      <c r="T9" s="514" t="e">
        <f ca="1"/>
        <v>#NAME?</v>
      </c>
      <c r="U9" s="36" t="e">
        <f ca="1"/>
        <v>#NAME?</v>
      </c>
      <c r="V9" s="37" t="e">
        <f ca="1"/>
        <v>#NAME?</v>
      </c>
      <c r="W9" s="913">
        <v>7</v>
      </c>
      <c r="X9" s="910" t="e">
        <f ca="1"/>
        <v>#NAME?</v>
      </c>
      <c r="Y9" s="876" t="e">
        <f ca="1"/>
        <v>#NAME?</v>
      </c>
      <c r="Z9" s="967" t="e">
        <f ca="1"/>
        <v>#NAME?</v>
      </c>
      <c r="AA9" s="910">
        <v>1.0765544098627133</v>
      </c>
      <c r="AB9" s="910" t="e">
        <f ca="1"/>
        <v>#NAME?</v>
      </c>
      <c r="AC9" s="876" t="e">
        <f ca="1"/>
        <v>#NAME?</v>
      </c>
      <c r="AD9" s="876" t="e">
        <f ca="1"/>
        <v>#NAME?</v>
      </c>
      <c r="AE9" s="909" t="e">
        <f ca="1"/>
        <v>#NAME?</v>
      </c>
      <c r="AF9" s="1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</row>
    <row r="10" spans="1:51" ht="15" customHeight="1" x14ac:dyDescent="0.2">
      <c r="A10" s="913">
        <v>8</v>
      </c>
      <c r="B10" s="965">
        <v>1</v>
      </c>
      <c r="C10" s="910">
        <v>-0.10864312570978685</v>
      </c>
      <c r="D10" s="876">
        <v>0.62504769633557156</v>
      </c>
      <c r="E10" s="909">
        <v>0.15257081636182845</v>
      </c>
      <c r="F10" s="876">
        <f t="shared" si="0"/>
        <v>-6.7907135447598174E-2</v>
      </c>
      <c r="G10" s="876">
        <f t="shared" si="1"/>
        <v>-1.6575770381642933E-2</v>
      </c>
      <c r="H10" s="876">
        <f t="shared" si="2"/>
        <v>9.5364037294998399E-2</v>
      </c>
      <c r="I10" s="910">
        <f t="shared" si="3"/>
        <v>1.1803328763992548E-2</v>
      </c>
      <c r="J10" s="876">
        <f t="shared" si="4"/>
        <v>0.39068462269440485</v>
      </c>
      <c r="K10" s="909">
        <f t="shared" si="5"/>
        <v>2.327785400531478E-2</v>
      </c>
      <c r="L10" s="913">
        <v>8</v>
      </c>
      <c r="M10" s="35" t="e">
        <f ca="1"/>
        <v>#NAME?</v>
      </c>
      <c r="N10" s="514" t="e">
        <f ca="1"/>
        <v>#NAME?</v>
      </c>
      <c r="O10" s="36" t="e">
        <f ca="1"/>
        <v>#NAME?</v>
      </c>
      <c r="P10" s="37" t="e">
        <f ca="1"/>
        <v>#NAME?</v>
      </c>
      <c r="Q10" s="514" t="e">
        <f ca="1"/>
        <v>#NAME?</v>
      </c>
      <c r="R10" s="36" t="e">
        <f ca="1"/>
        <v>#NAME?</v>
      </c>
      <c r="S10" s="37" t="e">
        <f ca="1"/>
        <v>#NAME?</v>
      </c>
      <c r="T10" s="514" t="e">
        <f ca="1"/>
        <v>#NAME?</v>
      </c>
      <c r="U10" s="36" t="e">
        <f ca="1"/>
        <v>#NAME?</v>
      </c>
      <c r="V10" s="37" t="e">
        <f ca="1"/>
        <v>#NAME?</v>
      </c>
      <c r="W10" s="913">
        <v>8</v>
      </c>
      <c r="X10" s="910" t="e">
        <f ca="1"/>
        <v>#NAME?</v>
      </c>
      <c r="Y10" s="876" t="e">
        <f ca="1"/>
        <v>#NAME?</v>
      </c>
      <c r="Z10" s="966" t="e">
        <f ca="1"/>
        <v>#NAME?</v>
      </c>
      <c r="AA10" s="910">
        <v>-1.105712276769907</v>
      </c>
      <c r="AB10" s="910" t="e">
        <f ca="1"/>
        <v>#NAME?</v>
      </c>
      <c r="AC10" s="876" t="e">
        <f ca="1"/>
        <v>#NAME?</v>
      </c>
      <c r="AD10" s="876" t="e">
        <f ca="1"/>
        <v>#NAME?</v>
      </c>
      <c r="AE10" s="909" t="e">
        <f ca="1"/>
        <v>#NAME?</v>
      </c>
      <c r="AF10" s="1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</row>
    <row r="11" spans="1:51" ht="15" customHeight="1" x14ac:dyDescent="0.2">
      <c r="A11" s="913">
        <v>9</v>
      </c>
      <c r="B11" s="965">
        <v>1</v>
      </c>
      <c r="C11" s="910">
        <v>0.21898640467216257</v>
      </c>
      <c r="D11" s="876">
        <v>0.23481051022881849</v>
      </c>
      <c r="E11" s="909">
        <v>0.59401525056970028</v>
      </c>
      <c r="F11" s="876">
        <f t="shared" si="0"/>
        <v>5.1420309414245018E-2</v>
      </c>
      <c r="G11" s="876">
        <f t="shared" si="1"/>
        <v>0.13008126404269243</v>
      </c>
      <c r="H11" s="876">
        <f t="shared" si="2"/>
        <v>0.13948102406997079</v>
      </c>
      <c r="I11" s="910">
        <f t="shared" si="3"/>
        <v>4.7955045431240143E-2</v>
      </c>
      <c r="J11" s="876">
        <f t="shared" si="4"/>
        <v>5.5135975713918074E-2</v>
      </c>
      <c r="K11" s="909">
        <f t="shared" si="5"/>
        <v>0.35285411790938381</v>
      </c>
      <c r="L11" s="913">
        <v>9</v>
      </c>
      <c r="M11" s="35" t="e">
        <f ca="1"/>
        <v>#NAME?</v>
      </c>
      <c r="N11" s="514" t="e">
        <f ca="1"/>
        <v>#NAME?</v>
      </c>
      <c r="O11" s="36" t="e">
        <f ca="1"/>
        <v>#NAME?</v>
      </c>
      <c r="P11" s="37" t="e">
        <f ca="1"/>
        <v>#NAME?</v>
      </c>
      <c r="Q11" s="514" t="e">
        <f ca="1"/>
        <v>#NAME?</v>
      </c>
      <c r="R11" s="36" t="e">
        <f ca="1"/>
        <v>#NAME?</v>
      </c>
      <c r="S11" s="37" t="e">
        <f ca="1"/>
        <v>#NAME?</v>
      </c>
      <c r="T11" s="514" t="e">
        <f ca="1"/>
        <v>#NAME?</v>
      </c>
      <c r="U11" s="36" t="e">
        <f ca="1"/>
        <v>#NAME?</v>
      </c>
      <c r="V11" s="37" t="e">
        <f ca="1"/>
        <v>#NAME?</v>
      </c>
      <c r="W11" s="913">
        <v>9</v>
      </c>
      <c r="X11" s="910" t="e">
        <f ca="1"/>
        <v>#NAME?</v>
      </c>
      <c r="Y11" s="876" t="e">
        <f ca="1"/>
        <v>#NAME?</v>
      </c>
      <c r="Z11" s="966" t="e">
        <f ca="1"/>
        <v>#NAME?</v>
      </c>
      <c r="AA11" s="910">
        <v>-0.95098402383940117</v>
      </c>
      <c r="AB11" s="910" t="e">
        <f ca="1"/>
        <v>#NAME?</v>
      </c>
      <c r="AC11" s="876" t="e">
        <f ca="1"/>
        <v>#NAME?</v>
      </c>
      <c r="AD11" s="876" t="e">
        <f ca="1"/>
        <v>#NAME?</v>
      </c>
      <c r="AE11" s="909" t="e">
        <f ca="1"/>
        <v>#NAME?</v>
      </c>
      <c r="AF11" s="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</row>
    <row r="12" spans="1:51" ht="15" customHeight="1" x14ac:dyDescent="0.2">
      <c r="A12" s="913">
        <v>10</v>
      </c>
      <c r="B12" s="965">
        <v>1</v>
      </c>
      <c r="C12" s="910">
        <v>0.27252182165647554</v>
      </c>
      <c r="D12" s="876">
        <v>-0.31618086200372297</v>
      </c>
      <c r="E12" s="909">
        <v>-0.75060261331288913</v>
      </c>
      <c r="F12" s="876">
        <f t="shared" si="0"/>
        <v>-8.6166184486169292E-2</v>
      </c>
      <c r="G12" s="876">
        <f t="shared" si="1"/>
        <v>-0.20455559152013963</v>
      </c>
      <c r="H12" s="876">
        <f t="shared" si="2"/>
        <v>0.23732618129951644</v>
      </c>
      <c r="I12" s="910">
        <f t="shared" si="3"/>
        <v>7.4268143278963861E-2</v>
      </c>
      <c r="J12" s="876">
        <f t="shared" si="4"/>
        <v>9.9970337497417308E-2</v>
      </c>
      <c r="K12" s="909">
        <f t="shared" si="5"/>
        <v>0.56340428311213853</v>
      </c>
      <c r="L12" s="913">
        <v>10</v>
      </c>
      <c r="M12" s="35" t="e">
        <f ca="1"/>
        <v>#NAME?</v>
      </c>
      <c r="N12" s="514" t="e">
        <f ca="1"/>
        <v>#NAME?</v>
      </c>
      <c r="O12" s="36" t="e">
        <f ca="1"/>
        <v>#NAME?</v>
      </c>
      <c r="P12" s="37" t="e">
        <f ca="1"/>
        <v>#NAME?</v>
      </c>
      <c r="Q12" s="514" t="e">
        <f ca="1"/>
        <v>#NAME?</v>
      </c>
      <c r="R12" s="36" t="e">
        <f ca="1"/>
        <v>#NAME?</v>
      </c>
      <c r="S12" s="37" t="e">
        <f ca="1"/>
        <v>#NAME?</v>
      </c>
      <c r="T12" s="514" t="e">
        <f ca="1"/>
        <v>#NAME?</v>
      </c>
      <c r="U12" s="36" t="e">
        <f ca="1"/>
        <v>#NAME?</v>
      </c>
      <c r="V12" s="37" t="e">
        <f ca="1"/>
        <v>#NAME?</v>
      </c>
      <c r="W12" s="913">
        <v>10</v>
      </c>
      <c r="X12" s="910" t="e">
        <f ca="1"/>
        <v>#NAME?</v>
      </c>
      <c r="Y12" s="876" t="e">
        <f ca="1"/>
        <v>#NAME?</v>
      </c>
      <c r="Z12" s="964" t="e">
        <f ca="1"/>
        <v>#NAME?</v>
      </c>
      <c r="AA12" s="910">
        <v>0.35081838182725833</v>
      </c>
      <c r="AB12" s="910" t="e">
        <f ca="1"/>
        <v>#NAME?</v>
      </c>
      <c r="AC12" s="876" t="e">
        <f ca="1"/>
        <v>#NAME?</v>
      </c>
      <c r="AD12" s="876" t="e">
        <f ca="1"/>
        <v>#NAME?</v>
      </c>
      <c r="AE12" s="909" t="e">
        <f ca="1"/>
        <v>#NAME?</v>
      </c>
      <c r="AF12" s="1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15" customHeight="1" x14ac:dyDescent="0.2">
      <c r="A13" s="913">
        <v>11</v>
      </c>
      <c r="B13" s="965">
        <v>1</v>
      </c>
      <c r="C13" s="910">
        <v>0.34957494283961665</v>
      </c>
      <c r="D13" s="876">
        <v>0.42187534097300783</v>
      </c>
      <c r="E13" s="909">
        <v>0.91412826494046251</v>
      </c>
      <c r="F13" s="876">
        <f t="shared" si="0"/>
        <v>0.14747704820608298</v>
      </c>
      <c r="G13" s="876">
        <f t="shared" si="1"/>
        <v>0.31955633596464011</v>
      </c>
      <c r="H13" s="876">
        <f t="shared" si="2"/>
        <v>0.38564817346482166</v>
      </c>
      <c r="I13" s="910">
        <f t="shared" si="3"/>
        <v>0.12220264066132125</v>
      </c>
      <c r="J13" s="876">
        <f t="shared" si="4"/>
        <v>0.17797880332109162</v>
      </c>
      <c r="K13" s="909">
        <f t="shared" si="5"/>
        <v>0.83563048476306045</v>
      </c>
      <c r="L13" s="913">
        <v>11</v>
      </c>
      <c r="M13" s="35" t="e">
        <f ca="1"/>
        <v>#NAME?</v>
      </c>
      <c r="N13" s="514" t="e">
        <f ca="1"/>
        <v>#NAME?</v>
      </c>
      <c r="O13" s="36" t="e">
        <f ca="1"/>
        <v>#NAME?</v>
      </c>
      <c r="P13" s="37" t="e">
        <f ca="1"/>
        <v>#NAME?</v>
      </c>
      <c r="Q13" s="514" t="e">
        <f ca="1"/>
        <v>#NAME?</v>
      </c>
      <c r="R13" s="36" t="e">
        <f ca="1"/>
        <v>#NAME?</v>
      </c>
      <c r="S13" s="37" t="e">
        <f ca="1"/>
        <v>#NAME?</v>
      </c>
      <c r="T13" s="514" t="e">
        <f ca="1"/>
        <v>#NAME?</v>
      </c>
      <c r="U13" s="36" t="e">
        <f ca="1"/>
        <v>#NAME?</v>
      </c>
      <c r="V13" s="37" t="e">
        <f ca="1"/>
        <v>#NAME?</v>
      </c>
      <c r="W13" s="913">
        <v>11</v>
      </c>
      <c r="X13" s="910" t="e">
        <f ca="1"/>
        <v>#NAME?</v>
      </c>
      <c r="Y13" s="876" t="e">
        <f ca="1"/>
        <v>#NAME?</v>
      </c>
      <c r="Z13" s="964" t="e">
        <f ca="1"/>
        <v>#NAME?</v>
      </c>
      <c r="AA13" s="910">
        <v>-1.9668596840319863</v>
      </c>
      <c r="AB13" s="910" t="e">
        <f ca="1"/>
        <v>#NAME?</v>
      </c>
      <c r="AC13" s="876" t="e">
        <f ca="1"/>
        <v>#NAME?</v>
      </c>
      <c r="AD13" s="876" t="e">
        <f ca="1"/>
        <v>#NAME?</v>
      </c>
      <c r="AE13" s="909" t="e">
        <f ca="1"/>
        <v>#NAME?</v>
      </c>
      <c r="AF13" s="1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</row>
    <row r="14" spans="1:51" ht="15" customHeight="1" x14ac:dyDescent="0.2">
      <c r="A14" s="913">
        <v>12</v>
      </c>
      <c r="B14" s="965">
        <v>1</v>
      </c>
      <c r="C14" s="910">
        <v>0.42260051760695561</v>
      </c>
      <c r="D14" s="876">
        <v>-0.99045098476443516</v>
      </c>
      <c r="E14" s="909">
        <v>0.53747196361786442</v>
      </c>
      <c r="F14" s="876">
        <f t="shared" si="0"/>
        <v>-0.4185650988257692</v>
      </c>
      <c r="G14" s="876">
        <f t="shared" si="1"/>
        <v>0.22713593002413632</v>
      </c>
      <c r="H14" s="876">
        <f t="shared" si="2"/>
        <v>-0.53233963564858844</v>
      </c>
      <c r="I14" s="910">
        <f t="shared" si="3"/>
        <v>0.1785911974816668</v>
      </c>
      <c r="J14" s="876">
        <f t="shared" si="4"/>
        <v>0.98099315322083935</v>
      </c>
      <c r="K14" s="909">
        <f t="shared" si="5"/>
        <v>0.28887611167524296</v>
      </c>
      <c r="L14" s="913">
        <v>12</v>
      </c>
      <c r="M14" s="35" t="e">
        <f ca="1"/>
        <v>#NAME?</v>
      </c>
      <c r="N14" s="514" t="e">
        <f ca="1"/>
        <v>#NAME?</v>
      </c>
      <c r="O14" s="36" t="e">
        <f ca="1"/>
        <v>#NAME?</v>
      </c>
      <c r="P14" s="37" t="e">
        <f ca="1"/>
        <v>#NAME?</v>
      </c>
      <c r="Q14" s="514" t="e">
        <f ca="1"/>
        <v>#NAME?</v>
      </c>
      <c r="R14" s="36" t="e">
        <f ca="1"/>
        <v>#NAME?</v>
      </c>
      <c r="S14" s="37" t="e">
        <f ca="1"/>
        <v>#NAME?</v>
      </c>
      <c r="T14" s="514" t="e">
        <f ca="1"/>
        <v>#NAME?</v>
      </c>
      <c r="U14" s="36" t="e">
        <f ca="1"/>
        <v>#NAME?</v>
      </c>
      <c r="V14" s="37" t="e">
        <f ca="1"/>
        <v>#NAME?</v>
      </c>
      <c r="W14" s="913">
        <v>12</v>
      </c>
      <c r="X14" s="910" t="e">
        <f ca="1"/>
        <v>#NAME?</v>
      </c>
      <c r="Y14" s="876" t="e">
        <f ca="1"/>
        <v>#NAME?</v>
      </c>
      <c r="Z14" s="964" t="e">
        <f ca="1"/>
        <v>#NAME?</v>
      </c>
      <c r="AA14" s="910">
        <v>-1.2202903819441207</v>
      </c>
      <c r="AB14" s="910" t="e">
        <f ca="1"/>
        <v>#NAME?</v>
      </c>
      <c r="AC14" s="876" t="e">
        <f ca="1"/>
        <v>#NAME?</v>
      </c>
      <c r="AD14" s="876" t="e">
        <f ca="1"/>
        <v>#NAME?</v>
      </c>
      <c r="AE14" s="909" t="e">
        <f ca="1"/>
        <v>#NAME?</v>
      </c>
      <c r="AF14" s="1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</row>
    <row r="15" spans="1:51" ht="15" customHeight="1" x14ac:dyDescent="0.2">
      <c r="A15" s="913">
        <v>13</v>
      </c>
      <c r="B15" s="965">
        <v>1</v>
      </c>
      <c r="C15" s="910">
        <v>0.66473949313124403</v>
      </c>
      <c r="D15" s="876">
        <v>0.90704419806504544</v>
      </c>
      <c r="E15" s="909">
        <v>-0.17702611159845816</v>
      </c>
      <c r="F15" s="876">
        <f t="shared" si="0"/>
        <v>0.60294810046939407</v>
      </c>
      <c r="G15" s="876">
        <f t="shared" si="1"/>
        <v>-0.11767624769495412</v>
      </c>
      <c r="H15" s="876">
        <f t="shared" si="2"/>
        <v>-0.16057050743139673</v>
      </c>
      <c r="I15" s="910">
        <f t="shared" si="3"/>
        <v>0.44187859372838323</v>
      </c>
      <c r="J15" s="876">
        <f t="shared" si="4"/>
        <v>0.8227291772434614</v>
      </c>
      <c r="K15" s="909">
        <f t="shared" si="5"/>
        <v>3.1338244187669763E-2</v>
      </c>
      <c r="L15" s="913">
        <v>13</v>
      </c>
      <c r="M15" s="35" t="e">
        <f ca="1"/>
        <v>#NAME?</v>
      </c>
      <c r="N15" s="514" t="e">
        <f ca="1"/>
        <v>#NAME?</v>
      </c>
      <c r="O15" s="36" t="e">
        <f ca="1"/>
        <v>#NAME?</v>
      </c>
      <c r="P15" s="37" t="e">
        <f ca="1"/>
        <v>#NAME?</v>
      </c>
      <c r="Q15" s="514" t="e">
        <f ca="1"/>
        <v>#NAME?</v>
      </c>
      <c r="R15" s="36" t="e">
        <f ca="1"/>
        <v>#NAME?</v>
      </c>
      <c r="S15" s="37" t="e">
        <f ca="1"/>
        <v>#NAME?</v>
      </c>
      <c r="T15" s="514" t="e">
        <f ca="1"/>
        <v>#NAME?</v>
      </c>
      <c r="U15" s="36" t="e">
        <f ca="1"/>
        <v>#NAME?</v>
      </c>
      <c r="V15" s="37" t="e">
        <f ca="1"/>
        <v>#NAME?</v>
      </c>
      <c r="W15" s="913">
        <v>13</v>
      </c>
      <c r="X15" s="910" t="e">
        <f ca="1"/>
        <v>#NAME?</v>
      </c>
      <c r="Y15" s="876" t="e">
        <f ca="1"/>
        <v>#NAME?</v>
      </c>
      <c r="Z15" s="964" t="e">
        <f ca="1"/>
        <v>#NAME?</v>
      </c>
      <c r="AA15" s="910">
        <v>-1.2861078657132228</v>
      </c>
      <c r="AB15" s="910" t="e">
        <f ca="1"/>
        <v>#NAME?</v>
      </c>
      <c r="AC15" s="876" t="e">
        <f ca="1"/>
        <v>#NAME?</v>
      </c>
      <c r="AD15" s="876" t="e">
        <f ca="1"/>
        <v>#NAME?</v>
      </c>
      <c r="AE15" s="909" t="e">
        <f ca="1"/>
        <v>#NAME?</v>
      </c>
      <c r="AF15" s="1"/>
      <c r="AH15" s="1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</row>
    <row r="16" spans="1:51" ht="15" customHeight="1" x14ac:dyDescent="0.2">
      <c r="A16" s="913">
        <v>14</v>
      </c>
      <c r="B16" s="965">
        <v>1</v>
      </c>
      <c r="C16" s="910">
        <v>0.71547065309552593</v>
      </c>
      <c r="D16" s="876">
        <v>-0.36222900302244687</v>
      </c>
      <c r="E16" s="909">
        <v>0.70048797882984726</v>
      </c>
      <c r="F16" s="876">
        <f t="shared" si="0"/>
        <v>-0.2591642213626113</v>
      </c>
      <c r="G16" s="876">
        <f t="shared" si="1"/>
        <v>0.50117859169895573</v>
      </c>
      <c r="H16" s="876">
        <f t="shared" si="2"/>
        <v>-0.25373706220074443</v>
      </c>
      <c r="I16" s="910">
        <f t="shared" si="3"/>
        <v>0.51189825544093837</v>
      </c>
      <c r="J16" s="876">
        <f t="shared" si="4"/>
        <v>0.13120985063063584</v>
      </c>
      <c r="K16" s="909">
        <f t="shared" si="5"/>
        <v>0.49068340848512454</v>
      </c>
      <c r="L16" s="913">
        <v>14</v>
      </c>
      <c r="M16" s="35" t="e">
        <f ca="1"/>
        <v>#NAME?</v>
      </c>
      <c r="N16" s="514" t="e">
        <f ca="1"/>
        <v>#NAME?</v>
      </c>
      <c r="O16" s="36" t="e">
        <f ca="1"/>
        <v>#NAME?</v>
      </c>
      <c r="P16" s="37" t="e">
        <f ca="1"/>
        <v>#NAME?</v>
      </c>
      <c r="Q16" s="514" t="e">
        <f ca="1"/>
        <v>#NAME?</v>
      </c>
      <c r="R16" s="36" t="e">
        <f ca="1"/>
        <v>#NAME?</v>
      </c>
      <c r="S16" s="37" t="e">
        <f ca="1"/>
        <v>#NAME?</v>
      </c>
      <c r="T16" s="514" t="e">
        <f ca="1"/>
        <v>#NAME?</v>
      </c>
      <c r="U16" s="36" t="e">
        <f ca="1"/>
        <v>#NAME?</v>
      </c>
      <c r="V16" s="37" t="e">
        <f ca="1"/>
        <v>#NAME?</v>
      </c>
      <c r="W16" s="913">
        <v>14</v>
      </c>
      <c r="X16" s="910" t="e">
        <f ca="1"/>
        <v>#NAME?</v>
      </c>
      <c r="Y16" s="876" t="e">
        <f ca="1"/>
        <v>#NAME?</v>
      </c>
      <c r="Z16" s="964" t="e">
        <f ca="1"/>
        <v>#NAME?</v>
      </c>
      <c r="AA16" s="910">
        <v>-1.9174437409505205</v>
      </c>
      <c r="AB16" s="910" t="e">
        <f ca="1"/>
        <v>#NAME?</v>
      </c>
      <c r="AC16" s="876" t="e">
        <f ca="1"/>
        <v>#NAME?</v>
      </c>
      <c r="AD16" s="876" t="e">
        <f ca="1"/>
        <v>#NAME?</v>
      </c>
      <c r="AE16" s="909" t="e">
        <f ca="1"/>
        <v>#NAME?</v>
      </c>
      <c r="AF16" s="1"/>
      <c r="AH16" s="1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</row>
    <row r="17" spans="1:55" ht="15" customHeight="1" x14ac:dyDescent="0.2">
      <c r="A17" s="913">
        <v>15</v>
      </c>
      <c r="B17" s="965">
        <v>1</v>
      </c>
      <c r="C17" s="910">
        <v>0.8129928058580278</v>
      </c>
      <c r="D17" s="876">
        <v>0.18144018014291685</v>
      </c>
      <c r="E17" s="909">
        <v>0.50727147336034251</v>
      </c>
      <c r="F17" s="876">
        <f t="shared" si="0"/>
        <v>0.14750956114977598</v>
      </c>
      <c r="G17" s="876">
        <f t="shared" si="1"/>
        <v>0.41240805845896067</v>
      </c>
      <c r="H17" s="876">
        <f t="shared" si="2"/>
        <v>9.2039427507863397E-2</v>
      </c>
      <c r="I17" s="910">
        <f t="shared" si="3"/>
        <v>0.66095730237690886</v>
      </c>
      <c r="J17" s="876">
        <f t="shared" si="4"/>
        <v>3.2920538970294115E-2</v>
      </c>
      <c r="K17" s="909">
        <f t="shared" si="5"/>
        <v>0.25732434768517265</v>
      </c>
      <c r="L17" s="913">
        <v>15</v>
      </c>
      <c r="M17" s="35" t="e">
        <f ca="1"/>
        <v>#NAME?</v>
      </c>
      <c r="N17" s="514" t="e">
        <f ca="1"/>
        <v>#NAME?</v>
      </c>
      <c r="O17" s="36" t="e">
        <f ca="1"/>
        <v>#NAME?</v>
      </c>
      <c r="P17" s="37" t="e">
        <f ca="1"/>
        <v>#NAME?</v>
      </c>
      <c r="Q17" s="514" t="e">
        <f ca="1"/>
        <v>#NAME?</v>
      </c>
      <c r="R17" s="36" t="e">
        <f ca="1"/>
        <v>#NAME?</v>
      </c>
      <c r="S17" s="37" t="e">
        <f ca="1"/>
        <v>#NAME?</v>
      </c>
      <c r="T17" s="514" t="e">
        <f ca="1"/>
        <v>#NAME?</v>
      </c>
      <c r="U17" s="36" t="e">
        <f ca="1"/>
        <v>#NAME?</v>
      </c>
      <c r="V17" s="37" t="e">
        <f ca="1"/>
        <v>#NAME?</v>
      </c>
      <c r="W17" s="913">
        <v>15</v>
      </c>
      <c r="X17" s="910" t="e">
        <f ca="1"/>
        <v>#NAME?</v>
      </c>
      <c r="Y17" s="876" t="e">
        <f ca="1"/>
        <v>#NAME?</v>
      </c>
      <c r="Z17" s="964" t="e">
        <f ca="1"/>
        <v>#NAME?</v>
      </c>
      <c r="AA17" s="910">
        <v>-2.0421633843896085</v>
      </c>
      <c r="AB17" s="910" t="e">
        <f ca="1"/>
        <v>#NAME?</v>
      </c>
      <c r="AC17" s="876" t="e">
        <f ca="1"/>
        <v>#NAME?</v>
      </c>
      <c r="AD17" s="876" t="e">
        <f ca="1"/>
        <v>#NAME?</v>
      </c>
      <c r="AE17" s="909" t="e">
        <f ca="1"/>
        <v>#NAME?</v>
      </c>
      <c r="AF17" s="1"/>
      <c r="AH17" s="1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</row>
    <row r="18" spans="1:55" ht="15" customHeight="1" x14ac:dyDescent="0.2">
      <c r="A18" s="905">
        <v>16</v>
      </c>
      <c r="B18" s="963">
        <v>1</v>
      </c>
      <c r="C18" s="902">
        <v>0.96000519862989342</v>
      </c>
      <c r="D18" s="892">
        <v>-0.68741983103466464</v>
      </c>
      <c r="E18" s="901">
        <v>0.85407793747966454</v>
      </c>
      <c r="F18" s="892">
        <f t="shared" si="0"/>
        <v>-0.65992661143456099</v>
      </c>
      <c r="G18" s="892">
        <f t="shared" si="1"/>
        <v>0.81991926001557502</v>
      </c>
      <c r="H18" s="892">
        <f t="shared" si="2"/>
        <v>-0.58711011147270586</v>
      </c>
      <c r="I18" s="902">
        <f t="shared" si="3"/>
        <v>0.92160998139642114</v>
      </c>
      <c r="J18" s="892">
        <f t="shared" si="4"/>
        <v>0.4725460240997269</v>
      </c>
      <c r="K18" s="901">
        <f t="shared" si="5"/>
        <v>0.72944912328951772</v>
      </c>
      <c r="L18" s="905">
        <v>16</v>
      </c>
      <c r="M18" s="64" t="e">
        <f ca="1"/>
        <v>#NAME?</v>
      </c>
      <c r="N18" s="512" t="e">
        <f ca="1"/>
        <v>#NAME?</v>
      </c>
      <c r="O18" s="65" t="e">
        <f ca="1"/>
        <v>#NAME?</v>
      </c>
      <c r="P18" s="66" t="e">
        <f ca="1"/>
        <v>#NAME?</v>
      </c>
      <c r="Q18" s="512" t="e">
        <f ca="1"/>
        <v>#NAME?</v>
      </c>
      <c r="R18" s="65" t="e">
        <f ca="1"/>
        <v>#NAME?</v>
      </c>
      <c r="S18" s="66" t="e">
        <f ca="1"/>
        <v>#NAME?</v>
      </c>
      <c r="T18" s="512" t="e">
        <f ca="1"/>
        <v>#NAME?</v>
      </c>
      <c r="U18" s="65" t="e">
        <f ca="1"/>
        <v>#NAME?</v>
      </c>
      <c r="V18" s="66" t="e">
        <f ca="1"/>
        <v>#NAME?</v>
      </c>
      <c r="W18" s="905">
        <v>16</v>
      </c>
      <c r="X18" s="902" t="e">
        <f ca="1"/>
        <v>#NAME?</v>
      </c>
      <c r="Y18" s="892" t="e">
        <f ca="1"/>
        <v>#NAME?</v>
      </c>
      <c r="Z18" s="962" t="e">
        <f ca="1"/>
        <v>#NAME?</v>
      </c>
      <c r="AA18" s="902">
        <v>-3.322672064782755</v>
      </c>
      <c r="AB18" s="902" t="e">
        <f ca="1"/>
        <v>#NAME?</v>
      </c>
      <c r="AC18" s="892" t="e">
        <f ca="1"/>
        <v>#NAME?</v>
      </c>
      <c r="AD18" s="892" t="e">
        <f ca="1"/>
        <v>#NAME?</v>
      </c>
      <c r="AE18" s="901" t="e">
        <f ca="1"/>
        <v>#NAME?</v>
      </c>
      <c r="AH18" s="1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</row>
    <row r="19" spans="1:55" ht="15" customHeight="1" x14ac:dyDescent="0.2">
      <c r="B19" s="1386" t="s">
        <v>391</v>
      </c>
      <c r="C19" s="1318"/>
      <c r="D19" s="1318"/>
      <c r="E19" s="1318"/>
      <c r="F19" s="1318"/>
      <c r="G19" s="1318"/>
      <c r="H19" s="1318"/>
      <c r="I19" s="1318"/>
      <c r="J19" s="1318"/>
      <c r="K19" s="1319"/>
      <c r="L19" s="961"/>
      <c r="M19" s="1386" t="s">
        <v>390</v>
      </c>
      <c r="N19" s="1318"/>
      <c r="O19" s="1318"/>
      <c r="P19" s="1318"/>
      <c r="Q19" s="1318"/>
      <c r="R19" s="1318"/>
      <c r="S19" s="1318"/>
      <c r="T19" s="1318"/>
      <c r="U19" s="1318"/>
      <c r="V19" s="1319"/>
      <c r="W19" s="931" t="s">
        <v>389</v>
      </c>
      <c r="X19" s="941" t="s">
        <v>388</v>
      </c>
      <c r="Y19" s="929" t="s">
        <v>387</v>
      </c>
      <c r="Z19" s="667" t="s">
        <v>386</v>
      </c>
      <c r="AB19" s="1386" t="s">
        <v>385</v>
      </c>
      <c r="AC19" s="1391"/>
      <c r="AD19" s="1391"/>
      <c r="AE19" s="1392"/>
      <c r="AF19" s="1"/>
      <c r="AH19" s="1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</row>
    <row r="20" spans="1:55" ht="15" customHeight="1" x14ac:dyDescent="0.2">
      <c r="A20" s="928" t="s">
        <v>378</v>
      </c>
      <c r="B20" s="960">
        <v>0</v>
      </c>
      <c r="C20" s="960">
        <v>1</v>
      </c>
      <c r="D20" s="959">
        <v>2</v>
      </c>
      <c r="E20" s="958">
        <v>3</v>
      </c>
      <c r="F20" s="959">
        <v>12</v>
      </c>
      <c r="G20" s="959">
        <v>13</v>
      </c>
      <c r="H20" s="959">
        <v>23</v>
      </c>
      <c r="I20" s="960">
        <v>11</v>
      </c>
      <c r="J20" s="959">
        <v>22</v>
      </c>
      <c r="K20" s="958">
        <v>33</v>
      </c>
      <c r="L20" s="936" t="s">
        <v>378</v>
      </c>
      <c r="M20" s="960">
        <v>0</v>
      </c>
      <c r="N20" s="960">
        <v>1</v>
      </c>
      <c r="O20" s="959">
        <v>2</v>
      </c>
      <c r="P20" s="958">
        <v>3</v>
      </c>
      <c r="Q20" s="959">
        <v>12</v>
      </c>
      <c r="R20" s="959">
        <v>13</v>
      </c>
      <c r="S20" s="959">
        <v>23</v>
      </c>
      <c r="T20" s="960">
        <v>11</v>
      </c>
      <c r="U20" s="959">
        <v>22</v>
      </c>
      <c r="V20" s="958">
        <v>33</v>
      </c>
      <c r="W20" s="936">
        <v>0</v>
      </c>
      <c r="X20" s="957" t="e">
        <f t="array" aca="1" ref="X20:X29" ca="1">MMULT(Samek,a)</f>
        <v>#NAME?</v>
      </c>
      <c r="Y20" s="956" t="e">
        <f t="array" aca="1" ref="Y20:Y29" ca="1">MMULT([5]!PseudoInv(X),y)</f>
        <v>#NAME?</v>
      </c>
      <c r="Z20" s="955" t="e">
        <f t="array" aca="1" ref="Z20:Z29" ca="1">MMULT(MINVERSE(ͶS_adj_Inv),a)</f>
        <v>#NAME?</v>
      </c>
      <c r="AB20" s="954" t="e">
        <f t="array" aca="1" ref="AB20:AE23" ca="1">[5]!CHOL(MMULT(TRANSPOSE(U),U))</f>
        <v>#NAME?</v>
      </c>
      <c r="AC20" s="953" t="e">
        <f ca="1"/>
        <v>#NAME?</v>
      </c>
      <c r="AD20" s="953" t="e">
        <f ca="1"/>
        <v>#NAME?</v>
      </c>
      <c r="AE20" s="952" t="e">
        <f ca="1"/>
        <v>#NAME?</v>
      </c>
      <c r="AH20" s="1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</row>
    <row r="21" spans="1:55" ht="15" customHeight="1" x14ac:dyDescent="0.2">
      <c r="A21" s="924">
        <v>0</v>
      </c>
      <c r="B21" s="950">
        <f t="array" ref="B21:K30">MMULT(TRANSPOSE(X),X)</f>
        <v>16</v>
      </c>
      <c r="C21" s="950">
        <v>1.4410024982184835</v>
      </c>
      <c r="D21" s="949">
        <v>-1.7210351307042333</v>
      </c>
      <c r="E21" s="948">
        <v>1.942373100392619</v>
      </c>
      <c r="F21" s="949">
        <v>0.19599116849131026</v>
      </c>
      <c r="G21" s="949">
        <v>2.3593641533042913</v>
      </c>
      <c r="H21" s="949">
        <v>-0.8890676398593047</v>
      </c>
      <c r="I21" s="950">
        <v>4.3325991726021851</v>
      </c>
      <c r="J21" s="949">
        <v>6.0240970427511691</v>
      </c>
      <c r="K21" s="948">
        <v>7.4140813907411642</v>
      </c>
      <c r="L21" s="951">
        <v>0</v>
      </c>
      <c r="M21" s="950" t="e">
        <f t="array" aca="1" ref="M21:V30" ca="1">MMULT(TRANSPOSE(Q_adj),Q_adj)</f>
        <v>#NAME?</v>
      </c>
      <c r="N21" s="950" t="e">
        <f ca="1"/>
        <v>#NAME?</v>
      </c>
      <c r="O21" s="949" t="e">
        <f ca="1"/>
        <v>#NAME?</v>
      </c>
      <c r="P21" s="948" t="e">
        <f ca="1"/>
        <v>#NAME?</v>
      </c>
      <c r="Q21" s="949" t="e">
        <f ca="1"/>
        <v>#NAME?</v>
      </c>
      <c r="R21" s="949" t="e">
        <f ca="1"/>
        <v>#NAME?</v>
      </c>
      <c r="S21" s="949" t="e">
        <f ca="1"/>
        <v>#NAME?</v>
      </c>
      <c r="T21" s="950" t="e">
        <f ca="1"/>
        <v>#NAME?</v>
      </c>
      <c r="U21" s="949" t="e">
        <f ca="1"/>
        <v>#NAME?</v>
      </c>
      <c r="V21" s="948" t="e">
        <f ca="1"/>
        <v>#NAME?</v>
      </c>
      <c r="W21" s="936">
        <v>1</v>
      </c>
      <c r="X21" s="876" t="e">
        <f ca="1"/>
        <v>#NAME?</v>
      </c>
      <c r="Y21" s="910" t="e">
        <f ca="1"/>
        <v>#NAME?</v>
      </c>
      <c r="Z21" s="917" t="e">
        <f ca="1"/>
        <v>#NAME?</v>
      </c>
      <c r="AB21" s="947" t="e">
        <f ca="1"/>
        <v>#NAME?</v>
      </c>
      <c r="AC21" s="946" t="e">
        <f ca="1"/>
        <v>#NAME?</v>
      </c>
      <c r="AD21" s="946" t="e">
        <f ca="1"/>
        <v>#NAME?</v>
      </c>
      <c r="AE21" s="945" t="e">
        <f ca="1"/>
        <v>#NAME?</v>
      </c>
      <c r="AH21" s="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</row>
    <row r="22" spans="1:55" ht="15" customHeight="1" x14ac:dyDescent="0.2">
      <c r="A22" s="924">
        <v>1</v>
      </c>
      <c r="B22" s="916">
        <v>1.4410024982184835</v>
      </c>
      <c r="C22" s="916">
        <v>4.3325991726021851</v>
      </c>
      <c r="D22" s="915">
        <v>0.19599116849131026</v>
      </c>
      <c r="E22" s="914">
        <v>2.3593641533042913</v>
      </c>
      <c r="F22" s="915">
        <v>-0.87120911014316227</v>
      </c>
      <c r="G22" s="915">
        <v>1.6232586111384366</v>
      </c>
      <c r="H22" s="915">
        <v>-0.31727845077454947</v>
      </c>
      <c r="I22" s="916">
        <v>1.4840308378206493</v>
      </c>
      <c r="J22" s="915">
        <v>0.40336938792357252</v>
      </c>
      <c r="K22" s="914">
        <v>0.33903190488422269</v>
      </c>
      <c r="L22" s="933">
        <v>1</v>
      </c>
      <c r="M22" s="916" t="e">
        <f ca="1"/>
        <v>#NAME?</v>
      </c>
      <c r="N22" s="916" t="e">
        <f ca="1"/>
        <v>#NAME?</v>
      </c>
      <c r="O22" s="915" t="e">
        <f ca="1"/>
        <v>#NAME?</v>
      </c>
      <c r="P22" s="914" t="e">
        <f ca="1"/>
        <v>#NAME?</v>
      </c>
      <c r="Q22" s="915" t="e">
        <f ca="1"/>
        <v>#NAME?</v>
      </c>
      <c r="R22" s="915" t="e">
        <f ca="1"/>
        <v>#NAME?</v>
      </c>
      <c r="S22" s="915" t="e">
        <f ca="1"/>
        <v>#NAME?</v>
      </c>
      <c r="T22" s="916" t="e">
        <f ca="1"/>
        <v>#NAME?</v>
      </c>
      <c r="U22" s="915" t="e">
        <f ca="1"/>
        <v>#NAME?</v>
      </c>
      <c r="V22" s="914" t="e">
        <f ca="1"/>
        <v>#NAME?</v>
      </c>
      <c r="W22" s="896">
        <v>2</v>
      </c>
      <c r="X22" s="876" t="e">
        <f ca="1"/>
        <v>#NAME?</v>
      </c>
      <c r="Y22" s="910" t="e">
        <f ca="1"/>
        <v>#NAME?</v>
      </c>
      <c r="Z22" s="909" t="e">
        <f ca="1"/>
        <v>#NAME?</v>
      </c>
      <c r="AB22" s="947" t="e">
        <f ca="1"/>
        <v>#NAME?</v>
      </c>
      <c r="AC22" s="946" t="e">
        <f ca="1"/>
        <v>#NAME?</v>
      </c>
      <c r="AD22" s="946" t="e">
        <f ca="1"/>
        <v>#NAME?</v>
      </c>
      <c r="AE22" s="945" t="e">
        <f ca="1"/>
        <v>#NAME?</v>
      </c>
      <c r="AH22" s="1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</row>
    <row r="23" spans="1:55" ht="15" customHeight="1" x14ac:dyDescent="0.2">
      <c r="A23" s="913">
        <v>2</v>
      </c>
      <c r="B23" s="916">
        <v>-1.7210351307042333</v>
      </c>
      <c r="C23" s="916">
        <v>0.19599116849131026</v>
      </c>
      <c r="D23" s="915">
        <v>6.0240970427511691</v>
      </c>
      <c r="E23" s="914">
        <v>-0.8890676398593047</v>
      </c>
      <c r="F23" s="915">
        <v>0.40336938792357263</v>
      </c>
      <c r="G23" s="915">
        <v>-0.31727845077454941</v>
      </c>
      <c r="H23" s="915">
        <v>-0.10962516330144956</v>
      </c>
      <c r="I23" s="916">
        <v>-0.87120911014316227</v>
      </c>
      <c r="J23" s="915">
        <v>-1.5921162580387747</v>
      </c>
      <c r="K23" s="914">
        <v>-1.3045057769577635</v>
      </c>
      <c r="L23" s="933">
        <v>2</v>
      </c>
      <c r="M23" s="916" t="e">
        <f ca="1"/>
        <v>#NAME?</v>
      </c>
      <c r="N23" s="916" t="e">
        <f ca="1"/>
        <v>#NAME?</v>
      </c>
      <c r="O23" s="915" t="e">
        <f ca="1"/>
        <v>#NAME?</v>
      </c>
      <c r="P23" s="914" t="e">
        <f ca="1"/>
        <v>#NAME?</v>
      </c>
      <c r="Q23" s="915" t="e">
        <f ca="1"/>
        <v>#NAME?</v>
      </c>
      <c r="R23" s="915" t="e">
        <f ca="1"/>
        <v>#NAME?</v>
      </c>
      <c r="S23" s="915" t="e">
        <f ca="1"/>
        <v>#NAME?</v>
      </c>
      <c r="T23" s="916" t="e">
        <f ca="1"/>
        <v>#NAME?</v>
      </c>
      <c r="U23" s="915" t="e">
        <f ca="1"/>
        <v>#NAME?</v>
      </c>
      <c r="V23" s="914" t="e">
        <f ca="1"/>
        <v>#NAME?</v>
      </c>
      <c r="W23" s="893">
        <v>3</v>
      </c>
      <c r="X23" s="876" t="e">
        <f ca="1"/>
        <v>#NAME?</v>
      </c>
      <c r="Y23" s="910" t="e">
        <f ca="1"/>
        <v>#NAME?</v>
      </c>
      <c r="Z23" s="901" t="e">
        <f ca="1"/>
        <v>#NAME?</v>
      </c>
      <c r="AB23" s="944" t="e">
        <f ca="1"/>
        <v>#NAME?</v>
      </c>
      <c r="AC23" s="943" t="e">
        <f ca="1"/>
        <v>#NAME?</v>
      </c>
      <c r="AD23" s="943" t="e">
        <f ca="1"/>
        <v>#NAME?</v>
      </c>
      <c r="AE23" s="942" t="e">
        <f ca="1"/>
        <v>#NAME?</v>
      </c>
      <c r="AH23" s="1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</row>
    <row r="24" spans="1:55" ht="15" customHeight="1" x14ac:dyDescent="0.2">
      <c r="A24" s="905">
        <v>3</v>
      </c>
      <c r="B24" s="916">
        <v>1.942373100392619</v>
      </c>
      <c r="C24" s="916">
        <v>2.3593641533042913</v>
      </c>
      <c r="D24" s="915">
        <v>-0.8890676398593047</v>
      </c>
      <c r="E24" s="914">
        <v>7.4140813907411642</v>
      </c>
      <c r="F24" s="915">
        <v>-0.31727845077454953</v>
      </c>
      <c r="G24" s="915">
        <v>0.33903190488422286</v>
      </c>
      <c r="H24" s="915">
        <v>-1.3045057769577633</v>
      </c>
      <c r="I24" s="916">
        <v>1.6232586111384366</v>
      </c>
      <c r="J24" s="915">
        <v>-0.10962516330144956</v>
      </c>
      <c r="K24" s="914">
        <v>0.5601093506545427</v>
      </c>
      <c r="L24" s="933">
        <v>3</v>
      </c>
      <c r="M24" s="916" t="e">
        <f ca="1"/>
        <v>#NAME?</v>
      </c>
      <c r="N24" s="916" t="e">
        <f ca="1"/>
        <v>#NAME?</v>
      </c>
      <c r="O24" s="915" t="e">
        <f ca="1"/>
        <v>#NAME?</v>
      </c>
      <c r="P24" s="914" t="e">
        <f ca="1"/>
        <v>#NAME?</v>
      </c>
      <c r="Q24" s="915" t="e">
        <f ca="1"/>
        <v>#NAME?</v>
      </c>
      <c r="R24" s="915" t="e">
        <f ca="1"/>
        <v>#NAME?</v>
      </c>
      <c r="S24" s="915" t="e">
        <f ca="1"/>
        <v>#NAME?</v>
      </c>
      <c r="T24" s="916" t="e">
        <f ca="1"/>
        <v>#NAME?</v>
      </c>
      <c r="U24" s="915" t="e">
        <f ca="1"/>
        <v>#NAME?</v>
      </c>
      <c r="V24" s="914" t="e">
        <f ca="1"/>
        <v>#NAME?</v>
      </c>
      <c r="W24" s="936">
        <v>12</v>
      </c>
      <c r="X24" s="918" t="e">
        <f ca="1"/>
        <v>#NAME?</v>
      </c>
      <c r="Y24" s="919" t="e">
        <f ca="1"/>
        <v>#NAME?</v>
      </c>
      <c r="Z24" s="917" t="e">
        <f ca="1"/>
        <v>#NAME?</v>
      </c>
      <c r="AB24" s="931" t="s">
        <v>384</v>
      </c>
      <c r="AC24" s="941" t="s">
        <v>383</v>
      </c>
      <c r="AD24" s="940" t="s">
        <v>382</v>
      </c>
      <c r="AE24" s="931" t="s">
        <v>386</v>
      </c>
      <c r="AH24" s="1"/>
      <c r="AI24"/>
      <c r="AJ24"/>
      <c r="AK24"/>
      <c r="AL24"/>
      <c r="AM24"/>
      <c r="AN24"/>
      <c r="AO24"/>
      <c r="AP24"/>
      <c r="AQ24"/>
      <c r="AR24"/>
    </row>
    <row r="25" spans="1:55" ht="15" customHeight="1" x14ac:dyDescent="0.2">
      <c r="A25" s="913">
        <v>12</v>
      </c>
      <c r="B25" s="922">
        <v>0.19599116849131026</v>
      </c>
      <c r="C25" s="922">
        <v>-0.87120911014316227</v>
      </c>
      <c r="D25" s="921">
        <v>0.40336938792357263</v>
      </c>
      <c r="E25" s="920">
        <v>-0.31727845077454953</v>
      </c>
      <c r="F25" s="921">
        <v>1.6991802066548478</v>
      </c>
      <c r="G25" s="921">
        <v>-1.0651842666249405</v>
      </c>
      <c r="H25" s="921">
        <v>0.85481773688306806</v>
      </c>
      <c r="I25" s="922">
        <v>-0.11809819573041391</v>
      </c>
      <c r="J25" s="921">
        <v>0.2642370873155086</v>
      </c>
      <c r="K25" s="920">
        <v>-0.34471129133143097</v>
      </c>
      <c r="L25" s="939">
        <v>12</v>
      </c>
      <c r="M25" s="922" t="e">
        <f ca="1"/>
        <v>#NAME?</v>
      </c>
      <c r="N25" s="922" t="e">
        <f ca="1"/>
        <v>#NAME?</v>
      </c>
      <c r="O25" s="921" t="e">
        <f ca="1"/>
        <v>#NAME?</v>
      </c>
      <c r="P25" s="920" t="e">
        <f ca="1"/>
        <v>#NAME?</v>
      </c>
      <c r="Q25" s="921" t="e">
        <f ca="1"/>
        <v>#NAME?</v>
      </c>
      <c r="R25" s="921" t="e">
        <f ca="1"/>
        <v>#NAME?</v>
      </c>
      <c r="S25" s="921" t="e">
        <f ca="1"/>
        <v>#NAME?</v>
      </c>
      <c r="T25" s="922" t="e">
        <f ca="1"/>
        <v>#NAME?</v>
      </c>
      <c r="U25" s="921" t="e">
        <f ca="1"/>
        <v>#NAME?</v>
      </c>
      <c r="V25" s="920" t="e">
        <f ca="1"/>
        <v>#NAME?</v>
      </c>
      <c r="W25" s="896">
        <v>13</v>
      </c>
      <c r="X25" s="876" t="e">
        <f ca="1"/>
        <v>#NAME?</v>
      </c>
      <c r="Y25" s="910" t="e">
        <f ca="1"/>
        <v>#NAME?</v>
      </c>
      <c r="Z25" s="909" t="e">
        <f ca="1"/>
        <v>#NAME?</v>
      </c>
      <c r="AA25" s="875">
        <v>0</v>
      </c>
      <c r="AB25" s="937" t="e">
        <f t="array" aca="1" ref="AB25:AB28" ca="1">MMULT(L_T,b)</f>
        <v>#NAME?</v>
      </c>
      <c r="AC25" s="938" t="e">
        <f ca="1">p_0^2</f>
        <v>#NAME?</v>
      </c>
      <c r="AD25" s="937" t="e">
        <f ca="1">SQRT(AC25)/AB25</f>
        <v>#NAME?</v>
      </c>
      <c r="AE25" s="971" t="e">
        <f t="array" aca="1" ref="AE25:AE28" ca="1">MMULT([5]!PseudoInv(U),y)</f>
        <v>#NAME?</v>
      </c>
      <c r="AH25" s="1"/>
      <c r="AI25"/>
      <c r="AJ25"/>
      <c r="AK25"/>
      <c r="AL25"/>
      <c r="AM25"/>
      <c r="AN25"/>
      <c r="AO25"/>
      <c r="AP25"/>
      <c r="AQ25"/>
      <c r="AR25"/>
    </row>
    <row r="26" spans="1:55" ht="15" customHeight="1" x14ac:dyDescent="0.2">
      <c r="A26" s="913">
        <v>13</v>
      </c>
      <c r="B26" s="916">
        <v>2.3593641533042913</v>
      </c>
      <c r="C26" s="916">
        <v>1.6232586111384366</v>
      </c>
      <c r="D26" s="915">
        <v>-0.31727845077454941</v>
      </c>
      <c r="E26" s="914">
        <v>0.33903190488422286</v>
      </c>
      <c r="F26" s="915">
        <v>-1.0651842666249405</v>
      </c>
      <c r="G26" s="915">
        <v>2.0431896268456136</v>
      </c>
      <c r="H26" s="915">
        <v>-0.34471129133143097</v>
      </c>
      <c r="I26" s="916">
        <v>1.1778977246879991</v>
      </c>
      <c r="J26" s="915">
        <v>0.85481773688306784</v>
      </c>
      <c r="K26" s="914">
        <v>1.6257721806567833</v>
      </c>
      <c r="L26" s="933">
        <v>13</v>
      </c>
      <c r="M26" s="916" t="e">
        <f ca="1"/>
        <v>#NAME?</v>
      </c>
      <c r="N26" s="916" t="e">
        <f ca="1"/>
        <v>#NAME?</v>
      </c>
      <c r="O26" s="915" t="e">
        <f ca="1"/>
        <v>#NAME?</v>
      </c>
      <c r="P26" s="914" t="e">
        <f ca="1"/>
        <v>#NAME?</v>
      </c>
      <c r="Q26" s="915" t="e">
        <f ca="1"/>
        <v>#NAME?</v>
      </c>
      <c r="R26" s="915" t="e">
        <f ca="1"/>
        <v>#NAME?</v>
      </c>
      <c r="S26" s="915" t="e">
        <f ca="1"/>
        <v>#NAME?</v>
      </c>
      <c r="T26" s="916" t="e">
        <f ca="1"/>
        <v>#NAME?</v>
      </c>
      <c r="U26" s="915" t="e">
        <f ca="1"/>
        <v>#NAME?</v>
      </c>
      <c r="V26" s="914" t="e">
        <f ca="1"/>
        <v>#NAME?</v>
      </c>
      <c r="W26" s="893">
        <v>23</v>
      </c>
      <c r="X26" s="892" t="e">
        <f ca="1"/>
        <v>#NAME?</v>
      </c>
      <c r="Y26" s="902" t="e">
        <f ca="1"/>
        <v>#NAME?</v>
      </c>
      <c r="Z26" s="901" t="e">
        <f ca="1"/>
        <v>#NAME?</v>
      </c>
      <c r="AA26" s="875">
        <v>1</v>
      </c>
      <c r="AB26" s="884" t="e">
        <f ca="1"/>
        <v>#NAME?</v>
      </c>
      <c r="AC26" s="935" t="e">
        <f ca="1">SUMSQ(p_1)</f>
        <v>#NAME?</v>
      </c>
      <c r="AD26" s="884" t="e">
        <f ca="1">SQRT(AC26)/AB26</f>
        <v>#NAME?</v>
      </c>
      <c r="AE26" s="972" t="e">
        <f ca="1"/>
        <v>#NAME?</v>
      </c>
      <c r="AH26" s="877"/>
      <c r="AI26"/>
      <c r="AJ26"/>
      <c r="AK26"/>
      <c r="AL26"/>
      <c r="AM26"/>
      <c r="AN26"/>
      <c r="AO26"/>
      <c r="AP26"/>
      <c r="AQ26"/>
      <c r="AR26"/>
      <c r="AT26" s="875"/>
      <c r="AU26" s="875"/>
      <c r="AV26" s="875"/>
    </row>
    <row r="27" spans="1:55" ht="15" customHeight="1" x14ac:dyDescent="0.2">
      <c r="A27" s="913">
        <v>23</v>
      </c>
      <c r="B27" s="908">
        <v>-0.8890676398593047</v>
      </c>
      <c r="C27" s="908">
        <v>-0.31727845077454947</v>
      </c>
      <c r="D27" s="907">
        <v>-0.10962516330144956</v>
      </c>
      <c r="E27" s="906">
        <v>-1.3045057769577633</v>
      </c>
      <c r="F27" s="907">
        <v>0.85481773688306806</v>
      </c>
      <c r="G27" s="907">
        <v>-0.34471129133143097</v>
      </c>
      <c r="H27" s="907">
        <v>2.4926773294917579</v>
      </c>
      <c r="I27" s="908">
        <v>-1.0651842666249403</v>
      </c>
      <c r="J27" s="907">
        <v>-0.5923813674597338</v>
      </c>
      <c r="K27" s="906">
        <v>-0.49351528545364509</v>
      </c>
      <c r="L27" s="932">
        <v>23</v>
      </c>
      <c r="M27" s="908" t="e">
        <f ca="1"/>
        <v>#NAME?</v>
      </c>
      <c r="N27" s="908" t="e">
        <f ca="1"/>
        <v>#NAME?</v>
      </c>
      <c r="O27" s="907" t="e">
        <f ca="1"/>
        <v>#NAME?</v>
      </c>
      <c r="P27" s="906" t="e">
        <f ca="1"/>
        <v>#NAME?</v>
      </c>
      <c r="Q27" s="907" t="e">
        <f ca="1"/>
        <v>#NAME?</v>
      </c>
      <c r="R27" s="907" t="e">
        <f ca="1"/>
        <v>#NAME?</v>
      </c>
      <c r="S27" s="907" t="e">
        <f ca="1"/>
        <v>#NAME?</v>
      </c>
      <c r="T27" s="908" t="e">
        <f ca="1"/>
        <v>#NAME?</v>
      </c>
      <c r="U27" s="907" t="e">
        <f ca="1"/>
        <v>#NAME?</v>
      </c>
      <c r="V27" s="906" t="e">
        <f ca="1"/>
        <v>#NAME?</v>
      </c>
      <c r="W27" s="936">
        <v>11</v>
      </c>
      <c r="X27" s="876" t="e">
        <f ca="1"/>
        <v>#NAME?</v>
      </c>
      <c r="Y27" s="910" t="e">
        <f ca="1"/>
        <v>#NAME?</v>
      </c>
      <c r="Z27" s="917" t="e">
        <f ca="1"/>
        <v>#NAME?</v>
      </c>
      <c r="AA27" s="875">
        <v>2</v>
      </c>
      <c r="AB27" s="884" t="e">
        <f ca="1"/>
        <v>#NAME?</v>
      </c>
      <c r="AC27" s="935" t="e">
        <f ca="1">SUMSQ(p_2)</f>
        <v>#NAME?</v>
      </c>
      <c r="AD27" s="884" t="e">
        <f ca="1">SQRT(AC27)/AB27</f>
        <v>#NAME?</v>
      </c>
      <c r="AE27" s="972" t="e">
        <f ca="1"/>
        <v>#NAME?</v>
      </c>
      <c r="AH27" s="877"/>
      <c r="AI27"/>
      <c r="AJ27"/>
      <c r="AK27"/>
      <c r="AL27"/>
      <c r="AM27"/>
      <c r="AN27"/>
      <c r="AO27"/>
      <c r="AP27"/>
      <c r="AQ27"/>
      <c r="AR27"/>
      <c r="AT27" s="875"/>
      <c r="AU27" s="875"/>
      <c r="AV27" s="875"/>
    </row>
    <row r="28" spans="1:55" ht="15" customHeight="1" x14ac:dyDescent="0.2">
      <c r="A28" s="924">
        <v>11</v>
      </c>
      <c r="B28" s="916">
        <v>4.3325991726021851</v>
      </c>
      <c r="C28" s="916">
        <v>1.4840308378206493</v>
      </c>
      <c r="D28" s="915">
        <v>-0.87120911014316227</v>
      </c>
      <c r="E28" s="914">
        <v>1.6232586111384366</v>
      </c>
      <c r="F28" s="915">
        <v>-0.11809819573041391</v>
      </c>
      <c r="G28" s="915">
        <v>1.1778977246879991</v>
      </c>
      <c r="H28" s="915">
        <v>-1.0651842666249403</v>
      </c>
      <c r="I28" s="916">
        <v>2.2572909170230613</v>
      </c>
      <c r="J28" s="915">
        <v>1.6991802066548478</v>
      </c>
      <c r="K28" s="914">
        <v>2.0431896268456136</v>
      </c>
      <c r="L28" s="933">
        <v>11</v>
      </c>
      <c r="M28" s="916" t="e">
        <f ca="1"/>
        <v>#NAME?</v>
      </c>
      <c r="N28" s="916" t="e">
        <f ca="1"/>
        <v>#NAME?</v>
      </c>
      <c r="O28" s="915" t="e">
        <f ca="1"/>
        <v>#NAME?</v>
      </c>
      <c r="P28" s="914" t="e">
        <f ca="1"/>
        <v>#NAME?</v>
      </c>
      <c r="Q28" s="915" t="e">
        <f ca="1"/>
        <v>#NAME?</v>
      </c>
      <c r="R28" s="915" t="e">
        <f ca="1"/>
        <v>#NAME?</v>
      </c>
      <c r="S28" s="915" t="e">
        <f ca="1"/>
        <v>#NAME?</v>
      </c>
      <c r="T28" s="916" t="e">
        <f ca="1"/>
        <v>#NAME?</v>
      </c>
      <c r="U28" s="915" t="e">
        <f ca="1"/>
        <v>#NAME?</v>
      </c>
      <c r="V28" s="914" t="e">
        <f ca="1"/>
        <v>#NAME?</v>
      </c>
      <c r="W28" s="896">
        <v>22</v>
      </c>
      <c r="X28" s="876" t="e">
        <f ca="1"/>
        <v>#NAME?</v>
      </c>
      <c r="Y28" s="910" t="e">
        <f ca="1"/>
        <v>#NAME?</v>
      </c>
      <c r="Z28" s="909" t="e">
        <f ca="1"/>
        <v>#NAME?</v>
      </c>
      <c r="AA28" s="875">
        <v>3</v>
      </c>
      <c r="AB28" s="880" t="e">
        <f ca="1"/>
        <v>#NAME?</v>
      </c>
      <c r="AC28" s="934" t="e">
        <f ca="1">SUMSQ(p_3)</f>
        <v>#NAME?</v>
      </c>
      <c r="AD28" s="880" t="e">
        <f ca="1">SQRT(AC28)/AB28</f>
        <v>#NAME?</v>
      </c>
      <c r="AE28" s="973" t="e">
        <f ca="1"/>
        <v>#NAME?</v>
      </c>
      <c r="AH28" s="877"/>
      <c r="AI28"/>
      <c r="AJ28"/>
      <c r="AK28"/>
      <c r="AL28"/>
      <c r="AM28"/>
      <c r="AN28"/>
      <c r="AO28"/>
      <c r="AP28"/>
      <c r="AQ28"/>
      <c r="AR28"/>
      <c r="AT28" s="875"/>
      <c r="AU28" s="875"/>
      <c r="AV28" s="875"/>
    </row>
    <row r="29" spans="1:55" ht="15" customHeight="1" x14ac:dyDescent="0.2">
      <c r="A29" s="913">
        <v>22</v>
      </c>
      <c r="B29" s="916">
        <v>6.0240970427511691</v>
      </c>
      <c r="C29" s="916">
        <v>0.40336938792357252</v>
      </c>
      <c r="D29" s="915">
        <v>-1.5921162580387747</v>
      </c>
      <c r="E29" s="914">
        <v>-0.10962516330144956</v>
      </c>
      <c r="F29" s="915">
        <v>0.2642370873155086</v>
      </c>
      <c r="G29" s="915">
        <v>0.85481773688306784</v>
      </c>
      <c r="H29" s="915">
        <v>-0.5923813674597338</v>
      </c>
      <c r="I29" s="916">
        <v>1.6991802066548478</v>
      </c>
      <c r="J29" s="915">
        <v>4.096052740414045</v>
      </c>
      <c r="K29" s="914">
        <v>2.4926773294917579</v>
      </c>
      <c r="L29" s="933">
        <v>22</v>
      </c>
      <c r="M29" s="916" t="e">
        <f ca="1"/>
        <v>#NAME?</v>
      </c>
      <c r="N29" s="916" t="e">
        <f ca="1"/>
        <v>#NAME?</v>
      </c>
      <c r="O29" s="915" t="e">
        <f ca="1"/>
        <v>#NAME?</v>
      </c>
      <c r="P29" s="914" t="e">
        <f ca="1"/>
        <v>#NAME?</v>
      </c>
      <c r="Q29" s="915" t="e">
        <f ca="1"/>
        <v>#NAME?</v>
      </c>
      <c r="R29" s="915" t="e">
        <f ca="1"/>
        <v>#NAME?</v>
      </c>
      <c r="S29" s="915" t="e">
        <f ca="1"/>
        <v>#NAME?</v>
      </c>
      <c r="T29" s="916" t="e">
        <f ca="1"/>
        <v>#NAME?</v>
      </c>
      <c r="U29" s="915" t="e">
        <f ca="1"/>
        <v>#NAME?</v>
      </c>
      <c r="V29" s="914" t="e">
        <f ca="1"/>
        <v>#NAME?</v>
      </c>
      <c r="W29" s="893">
        <v>33</v>
      </c>
      <c r="X29" s="892" t="e">
        <f ca="1"/>
        <v>#NAME?</v>
      </c>
      <c r="Y29" s="902" t="e">
        <f ca="1"/>
        <v>#NAME?</v>
      </c>
      <c r="Z29" s="901" t="e">
        <f ca="1"/>
        <v>#NAME?</v>
      </c>
      <c r="AH29" s="877"/>
    </row>
    <row r="30" spans="1:55" ht="15" customHeight="1" x14ac:dyDescent="0.2">
      <c r="A30" s="905">
        <v>33</v>
      </c>
      <c r="B30" s="908">
        <v>7.4140813907411642</v>
      </c>
      <c r="C30" s="908">
        <v>0.33903190488422269</v>
      </c>
      <c r="D30" s="907">
        <v>-1.3045057769577635</v>
      </c>
      <c r="E30" s="906">
        <v>0.5601093506545427</v>
      </c>
      <c r="F30" s="907">
        <v>-0.34471129133143097</v>
      </c>
      <c r="G30" s="907">
        <v>1.6257721806567833</v>
      </c>
      <c r="H30" s="907">
        <v>-0.49351528545364509</v>
      </c>
      <c r="I30" s="908">
        <v>2.0431896268456136</v>
      </c>
      <c r="J30" s="907">
        <v>2.4926773294917579</v>
      </c>
      <c r="K30" s="906">
        <v>4.5997644563080033</v>
      </c>
      <c r="L30" s="932">
        <v>33</v>
      </c>
      <c r="M30" s="908" t="e">
        <f ca="1"/>
        <v>#NAME?</v>
      </c>
      <c r="N30" s="908" t="e">
        <f ca="1"/>
        <v>#NAME?</v>
      </c>
      <c r="O30" s="907" t="e">
        <f ca="1"/>
        <v>#NAME?</v>
      </c>
      <c r="P30" s="906" t="e">
        <f ca="1"/>
        <v>#NAME?</v>
      </c>
      <c r="Q30" s="907" t="e">
        <f ca="1"/>
        <v>#NAME?</v>
      </c>
      <c r="R30" s="907" t="e">
        <f ca="1"/>
        <v>#NAME?</v>
      </c>
      <c r="S30" s="907" t="e">
        <f ca="1"/>
        <v>#NAME?</v>
      </c>
      <c r="T30" s="908" t="e">
        <f ca="1"/>
        <v>#NAME?</v>
      </c>
      <c r="U30" s="907" t="e">
        <f ca="1"/>
        <v>#NAME?</v>
      </c>
      <c r="V30" s="906" t="e">
        <f ca="1"/>
        <v>#NAME?</v>
      </c>
      <c r="W30"/>
      <c r="AA30"/>
      <c r="AX30" s="876"/>
      <c r="AY30" s="876"/>
      <c r="AZ30" s="876"/>
      <c r="BA30" s="876"/>
      <c r="BB30" s="876"/>
      <c r="BC30" s="876"/>
    </row>
    <row r="31" spans="1:55" ht="15" customHeight="1" x14ac:dyDescent="0.2">
      <c r="B31" s="1382" t="s">
        <v>381</v>
      </c>
      <c r="C31" s="1318"/>
      <c r="D31" s="1318"/>
      <c r="E31" s="1318"/>
      <c r="F31" s="1318"/>
      <c r="G31" s="1318"/>
      <c r="H31" s="1318"/>
      <c r="I31" s="1318"/>
      <c r="J31" s="1318"/>
      <c r="K31" s="1319"/>
      <c r="L31" s="931" t="s">
        <v>378</v>
      </c>
      <c r="M31" s="1382" t="s">
        <v>380</v>
      </c>
      <c r="N31" s="1318"/>
      <c r="O31" s="1318"/>
      <c r="P31" s="1318"/>
      <c r="Q31" s="1318"/>
      <c r="R31" s="1318"/>
      <c r="S31" s="1318"/>
      <c r="T31" s="1318"/>
      <c r="U31" s="1318"/>
      <c r="V31" s="1319"/>
      <c r="W31" s="931" t="s">
        <v>378</v>
      </c>
      <c r="X31" s="1382" t="s">
        <v>379</v>
      </c>
      <c r="Y31" s="1318"/>
      <c r="Z31" s="1318"/>
      <c r="AA31" s="1318"/>
      <c r="AB31" s="1318"/>
      <c r="AC31" s="1318"/>
      <c r="AD31" s="1318"/>
      <c r="AE31" s="1318"/>
      <c r="AF31" s="1318"/>
      <c r="AG31" s="1319"/>
      <c r="AX31" s="876"/>
      <c r="AY31" s="876"/>
      <c r="AZ31" s="876"/>
      <c r="BA31" s="876"/>
      <c r="BB31" s="876"/>
      <c r="BC31" s="876"/>
    </row>
    <row r="32" spans="1:55" ht="15" customHeight="1" x14ac:dyDescent="0.2">
      <c r="A32" s="924" t="s">
        <v>378</v>
      </c>
      <c r="B32" s="929">
        <v>0</v>
      </c>
      <c r="C32" s="929">
        <v>1</v>
      </c>
      <c r="D32" s="898">
        <v>2</v>
      </c>
      <c r="E32" s="897">
        <v>3</v>
      </c>
      <c r="F32" s="898">
        <v>12</v>
      </c>
      <c r="G32" s="898">
        <v>13</v>
      </c>
      <c r="H32" s="898">
        <v>23</v>
      </c>
      <c r="I32" s="929">
        <v>11</v>
      </c>
      <c r="J32" s="898">
        <v>22</v>
      </c>
      <c r="K32" s="897">
        <v>33</v>
      </c>
      <c r="L32" s="930">
        <v>0</v>
      </c>
      <c r="M32" s="929">
        <v>0</v>
      </c>
      <c r="N32" s="929">
        <v>1</v>
      </c>
      <c r="O32" s="898">
        <v>2</v>
      </c>
      <c r="P32" s="897">
        <v>3</v>
      </c>
      <c r="Q32" s="898">
        <v>12</v>
      </c>
      <c r="R32" s="898">
        <v>13</v>
      </c>
      <c r="S32" s="898">
        <v>23</v>
      </c>
      <c r="T32" s="929">
        <v>11</v>
      </c>
      <c r="U32" s="898">
        <v>22</v>
      </c>
      <c r="V32" s="897">
        <v>33</v>
      </c>
      <c r="W32" s="930">
        <v>0</v>
      </c>
      <c r="X32" s="929">
        <v>0</v>
      </c>
      <c r="Y32" s="929">
        <v>1</v>
      </c>
      <c r="Z32" s="898">
        <v>2</v>
      </c>
      <c r="AA32" s="897">
        <v>3</v>
      </c>
      <c r="AB32" s="898">
        <v>12</v>
      </c>
      <c r="AC32" s="898">
        <v>13</v>
      </c>
      <c r="AD32" s="898">
        <v>23</v>
      </c>
      <c r="AE32" s="929">
        <v>11</v>
      </c>
      <c r="AF32" s="898">
        <v>22</v>
      </c>
      <c r="AG32" s="897">
        <v>33</v>
      </c>
      <c r="AX32" s="876"/>
      <c r="AY32" s="876"/>
      <c r="AZ32" s="876"/>
      <c r="BA32" s="876"/>
      <c r="BB32" s="876"/>
      <c r="BC32" s="876"/>
    </row>
    <row r="33" spans="1:55" ht="15" customHeight="1" x14ac:dyDescent="0.2">
      <c r="A33" s="928">
        <v>0</v>
      </c>
      <c r="B33" s="927">
        <f t="array" ref="B33">SQRT(SUMSQ(X_0))</f>
        <v>4</v>
      </c>
      <c r="C33" s="926">
        <v>0</v>
      </c>
      <c r="D33" s="926">
        <v>0</v>
      </c>
      <c r="E33" s="926">
        <v>0</v>
      </c>
      <c r="F33" s="926">
        <v>0</v>
      </c>
      <c r="G33" s="926">
        <v>0</v>
      </c>
      <c r="H33" s="926">
        <v>0</v>
      </c>
      <c r="I33" s="926">
        <v>0</v>
      </c>
      <c r="J33" s="926">
        <v>0</v>
      </c>
      <c r="K33" s="925">
        <v>0</v>
      </c>
      <c r="L33" s="928">
        <v>0</v>
      </c>
      <c r="M33" s="927" t="e">
        <f t="array" aca="1" ref="M33:V42" ca="1">MINVERSE(Samek)</f>
        <v>#NAME?</v>
      </c>
      <c r="N33" s="926" t="e">
        <f ca="1"/>
        <v>#NAME?</v>
      </c>
      <c r="O33" s="926" t="e">
        <f ca="1"/>
        <v>#NAME?</v>
      </c>
      <c r="P33" s="926" t="e">
        <f ca="1"/>
        <v>#NAME?</v>
      </c>
      <c r="Q33" s="926" t="e">
        <f ca="1"/>
        <v>#NAME?</v>
      </c>
      <c r="R33" s="926" t="e">
        <f ca="1"/>
        <v>#NAME?</v>
      </c>
      <c r="S33" s="926" t="e">
        <f ca="1"/>
        <v>#NAME?</v>
      </c>
      <c r="T33" s="926" t="e">
        <f ca="1"/>
        <v>#NAME?</v>
      </c>
      <c r="U33" s="926" t="e">
        <f ca="1"/>
        <v>#NAME?</v>
      </c>
      <c r="V33" s="925" t="e">
        <f ca="1"/>
        <v>#NAME?</v>
      </c>
      <c r="W33" s="928">
        <v>0</v>
      </c>
      <c r="X33" s="927" t="e">
        <f ca="1">M33*AD25</f>
        <v>#NAME?</v>
      </c>
      <c r="Y33" s="926">
        <v>0</v>
      </c>
      <c r="Z33" s="926">
        <v>0</v>
      </c>
      <c r="AA33" s="926">
        <v>0</v>
      </c>
      <c r="AB33" s="926">
        <v>0</v>
      </c>
      <c r="AC33" s="926">
        <v>0</v>
      </c>
      <c r="AD33" s="926">
        <v>0</v>
      </c>
      <c r="AE33" s="926">
        <v>0</v>
      </c>
      <c r="AF33" s="926">
        <v>0</v>
      </c>
      <c r="AG33" s="925">
        <v>0</v>
      </c>
      <c r="AX33" s="876"/>
      <c r="AY33" s="876"/>
      <c r="AZ33" s="876"/>
      <c r="BA33" s="876"/>
      <c r="BB33" s="876"/>
      <c r="BC33" s="876"/>
    </row>
    <row r="34" spans="1:55" ht="15" customHeight="1" x14ac:dyDescent="0.2">
      <c r="A34" s="913">
        <v>1</v>
      </c>
      <c r="B34" s="912">
        <v>0</v>
      </c>
      <c r="C34" s="922" t="e">
        <f t="array" aca="1" ref="C34:E36" ca="1">[5]!MSQRT(MMULT(TRANSPOSE(X_1),X_1))</f>
        <v>#NAME?</v>
      </c>
      <c r="D34" s="921" t="e">
        <f ca="1"/>
        <v>#NAME?</v>
      </c>
      <c r="E34" s="920" t="e">
        <f ca="1"/>
        <v>#NAME?</v>
      </c>
      <c r="F34" s="915">
        <v>0</v>
      </c>
      <c r="G34" s="915">
        <v>0</v>
      </c>
      <c r="H34" s="915">
        <v>0</v>
      </c>
      <c r="I34" s="915">
        <v>0</v>
      </c>
      <c r="J34" s="915">
        <v>0</v>
      </c>
      <c r="K34" s="914">
        <v>0</v>
      </c>
      <c r="L34" s="913">
        <v>1</v>
      </c>
      <c r="M34" s="912" t="e">
        <f ca="1"/>
        <v>#NAME?</v>
      </c>
      <c r="N34" s="922" t="e">
        <f ca="1"/>
        <v>#NAME?</v>
      </c>
      <c r="O34" s="921" t="e">
        <f ca="1"/>
        <v>#NAME?</v>
      </c>
      <c r="P34" s="920" t="e">
        <f ca="1"/>
        <v>#NAME?</v>
      </c>
      <c r="Q34" s="915" t="e">
        <f ca="1"/>
        <v>#NAME?</v>
      </c>
      <c r="R34" s="915" t="e">
        <f ca="1"/>
        <v>#NAME?</v>
      </c>
      <c r="S34" s="915" t="e">
        <f ca="1"/>
        <v>#NAME?</v>
      </c>
      <c r="T34" s="915" t="e">
        <f ca="1"/>
        <v>#NAME?</v>
      </c>
      <c r="U34" s="915" t="e">
        <f ca="1"/>
        <v>#NAME?</v>
      </c>
      <c r="V34" s="914" t="e">
        <f ca="1"/>
        <v>#NAME?</v>
      </c>
      <c r="W34" s="913">
        <v>1</v>
      </c>
      <c r="X34" s="912">
        <v>0</v>
      </c>
      <c r="Y34" s="919" t="e">
        <f t="shared" ref="Y34:AA36" ca="1" si="6">N34*$AD$26</f>
        <v>#NAME?</v>
      </c>
      <c r="Z34" s="918" t="e">
        <f t="shared" ca="1" si="6"/>
        <v>#NAME?</v>
      </c>
      <c r="AA34" s="917" t="e">
        <f t="shared" ca="1" si="6"/>
        <v>#NAME?</v>
      </c>
      <c r="AB34" s="911">
        <v>0</v>
      </c>
      <c r="AC34" s="911">
        <v>0</v>
      </c>
      <c r="AD34" s="911">
        <v>0</v>
      </c>
      <c r="AE34" s="911">
        <v>0</v>
      </c>
      <c r="AF34" s="911">
        <v>0</v>
      </c>
      <c r="AG34" s="923">
        <v>0</v>
      </c>
      <c r="AH34"/>
      <c r="AX34" s="876"/>
      <c r="AY34" s="876"/>
      <c r="AZ34" s="876"/>
      <c r="BA34" s="876"/>
      <c r="BB34" s="876"/>
      <c r="BC34" s="876"/>
    </row>
    <row r="35" spans="1:55" ht="15" customHeight="1" x14ac:dyDescent="0.2">
      <c r="A35" s="913">
        <v>2</v>
      </c>
      <c r="B35" s="912">
        <v>0</v>
      </c>
      <c r="C35" s="916" t="e">
        <f ca="1"/>
        <v>#NAME?</v>
      </c>
      <c r="D35" s="915" t="e">
        <f ca="1"/>
        <v>#NAME?</v>
      </c>
      <c r="E35" s="914" t="e">
        <f ca="1"/>
        <v>#NAME?</v>
      </c>
      <c r="F35" s="915">
        <v>0</v>
      </c>
      <c r="G35" s="915">
        <v>0</v>
      </c>
      <c r="H35" s="915">
        <v>0</v>
      </c>
      <c r="I35" s="915">
        <v>0</v>
      </c>
      <c r="J35" s="915">
        <v>0</v>
      </c>
      <c r="K35" s="914">
        <v>0</v>
      </c>
      <c r="L35" s="913">
        <v>2</v>
      </c>
      <c r="M35" s="912" t="e">
        <f ca="1"/>
        <v>#NAME?</v>
      </c>
      <c r="N35" s="916" t="e">
        <f ca="1"/>
        <v>#NAME?</v>
      </c>
      <c r="O35" s="915" t="e">
        <f ca="1"/>
        <v>#NAME?</v>
      </c>
      <c r="P35" s="914" t="e">
        <f ca="1"/>
        <v>#NAME?</v>
      </c>
      <c r="Q35" s="915" t="e">
        <f ca="1"/>
        <v>#NAME?</v>
      </c>
      <c r="R35" s="915" t="e">
        <f ca="1"/>
        <v>#NAME?</v>
      </c>
      <c r="S35" s="915" t="e">
        <f ca="1"/>
        <v>#NAME?</v>
      </c>
      <c r="T35" s="915" t="e">
        <f ca="1"/>
        <v>#NAME?</v>
      </c>
      <c r="U35" s="915" t="e">
        <f ca="1"/>
        <v>#NAME?</v>
      </c>
      <c r="V35" s="914" t="e">
        <f ca="1"/>
        <v>#NAME?</v>
      </c>
      <c r="W35" s="913">
        <v>2</v>
      </c>
      <c r="X35" s="912">
        <v>0</v>
      </c>
      <c r="Y35" s="910" t="e">
        <f t="shared" ca="1" si="6"/>
        <v>#NAME?</v>
      </c>
      <c r="Z35" s="876" t="e">
        <f t="shared" ca="1" si="6"/>
        <v>#NAME?</v>
      </c>
      <c r="AA35" s="909" t="e">
        <f t="shared" ca="1" si="6"/>
        <v>#NAME?</v>
      </c>
      <c r="AB35" s="911">
        <v>0</v>
      </c>
      <c r="AC35" s="911">
        <v>0</v>
      </c>
      <c r="AD35" s="911">
        <v>0</v>
      </c>
      <c r="AE35" s="911">
        <v>0</v>
      </c>
      <c r="AF35" s="911">
        <v>0</v>
      </c>
      <c r="AG35" s="923">
        <v>0</v>
      </c>
      <c r="AH35"/>
      <c r="AY35" s="876"/>
      <c r="AZ35" s="876"/>
      <c r="BA35" s="876"/>
      <c r="BB35" s="876"/>
      <c r="BC35" s="876"/>
    </row>
    <row r="36" spans="1:55" ht="15" customHeight="1" x14ac:dyDescent="0.2">
      <c r="A36" s="913">
        <v>3</v>
      </c>
      <c r="B36" s="912">
        <v>0</v>
      </c>
      <c r="C36" s="908" t="e">
        <f ca="1"/>
        <v>#NAME?</v>
      </c>
      <c r="D36" s="907" t="e">
        <f ca="1"/>
        <v>#NAME?</v>
      </c>
      <c r="E36" s="906" t="e">
        <f ca="1"/>
        <v>#NAME?</v>
      </c>
      <c r="F36" s="915">
        <v>0</v>
      </c>
      <c r="G36" s="915">
        <v>0</v>
      </c>
      <c r="H36" s="915">
        <v>0</v>
      </c>
      <c r="I36" s="915">
        <v>0</v>
      </c>
      <c r="J36" s="915">
        <v>0</v>
      </c>
      <c r="K36" s="914">
        <v>0</v>
      </c>
      <c r="L36" s="913">
        <v>3</v>
      </c>
      <c r="M36" s="912" t="e">
        <f ca="1"/>
        <v>#NAME?</v>
      </c>
      <c r="N36" s="908" t="e">
        <f ca="1"/>
        <v>#NAME?</v>
      </c>
      <c r="O36" s="907" t="e">
        <f ca="1"/>
        <v>#NAME?</v>
      </c>
      <c r="P36" s="906" t="e">
        <f ca="1"/>
        <v>#NAME?</v>
      </c>
      <c r="Q36" s="915" t="e">
        <f ca="1"/>
        <v>#NAME?</v>
      </c>
      <c r="R36" s="915" t="e">
        <f ca="1"/>
        <v>#NAME?</v>
      </c>
      <c r="S36" s="915" t="e">
        <f ca="1"/>
        <v>#NAME?</v>
      </c>
      <c r="T36" s="915" t="e">
        <f ca="1"/>
        <v>#NAME?</v>
      </c>
      <c r="U36" s="915" t="e">
        <f ca="1"/>
        <v>#NAME?</v>
      </c>
      <c r="V36" s="914" t="e">
        <f ca="1"/>
        <v>#NAME?</v>
      </c>
      <c r="W36" s="913">
        <v>3</v>
      </c>
      <c r="X36" s="912">
        <v>0</v>
      </c>
      <c r="Y36" s="902" t="e">
        <f t="shared" ca="1" si="6"/>
        <v>#NAME?</v>
      </c>
      <c r="Z36" s="892" t="e">
        <f t="shared" ca="1" si="6"/>
        <v>#NAME?</v>
      </c>
      <c r="AA36" s="901" t="e">
        <f t="shared" ca="1" si="6"/>
        <v>#NAME?</v>
      </c>
      <c r="AB36" s="911">
        <v>0</v>
      </c>
      <c r="AC36" s="911">
        <v>0</v>
      </c>
      <c r="AD36" s="911">
        <v>0</v>
      </c>
      <c r="AE36" s="911">
        <v>0</v>
      </c>
      <c r="AF36" s="911">
        <v>0</v>
      </c>
      <c r="AG36" s="923">
        <v>0</v>
      </c>
      <c r="AH36"/>
      <c r="AY36" s="876"/>
      <c r="AZ36" s="876"/>
      <c r="BA36" s="876"/>
      <c r="BB36" s="876"/>
      <c r="BC36" s="876"/>
    </row>
    <row r="37" spans="1:55" ht="15" customHeight="1" x14ac:dyDescent="0.2">
      <c r="A37" s="924">
        <v>12</v>
      </c>
      <c r="B37" s="912">
        <v>0</v>
      </c>
      <c r="C37" s="915">
        <v>0</v>
      </c>
      <c r="D37" s="915">
        <v>0</v>
      </c>
      <c r="E37" s="915">
        <v>0</v>
      </c>
      <c r="F37" s="922" t="e">
        <f t="array" aca="1" ref="F37:H39" ca="1">[5]!MSQRT(MMULT(TRANSPOSE(X_2),X_2))</f>
        <v>#NAME?</v>
      </c>
      <c r="G37" s="921" t="e">
        <f ca="1"/>
        <v>#NAME?</v>
      </c>
      <c r="H37" s="920" t="e">
        <f ca="1"/>
        <v>#NAME?</v>
      </c>
      <c r="I37" s="915">
        <v>0</v>
      </c>
      <c r="J37" s="915">
        <v>0</v>
      </c>
      <c r="K37" s="914">
        <v>0</v>
      </c>
      <c r="L37" s="924">
        <v>12</v>
      </c>
      <c r="M37" s="912" t="e">
        <f ca="1"/>
        <v>#NAME?</v>
      </c>
      <c r="N37" s="915" t="e">
        <f ca="1"/>
        <v>#NAME?</v>
      </c>
      <c r="O37" s="915" t="e">
        <f ca="1"/>
        <v>#NAME?</v>
      </c>
      <c r="P37" s="915" t="e">
        <f ca="1"/>
        <v>#NAME?</v>
      </c>
      <c r="Q37" s="922" t="e">
        <f ca="1"/>
        <v>#NAME?</v>
      </c>
      <c r="R37" s="921" t="e">
        <f ca="1"/>
        <v>#NAME?</v>
      </c>
      <c r="S37" s="920" t="e">
        <f ca="1"/>
        <v>#NAME?</v>
      </c>
      <c r="T37" s="915" t="e">
        <f ca="1"/>
        <v>#NAME?</v>
      </c>
      <c r="U37" s="915" t="e">
        <f ca="1"/>
        <v>#NAME?</v>
      </c>
      <c r="V37" s="914" t="e">
        <f ca="1"/>
        <v>#NAME?</v>
      </c>
      <c r="W37" s="924">
        <v>12</v>
      </c>
      <c r="X37" s="912">
        <v>0</v>
      </c>
      <c r="Y37" s="911">
        <v>0</v>
      </c>
      <c r="Z37" s="911">
        <v>0</v>
      </c>
      <c r="AA37" s="911">
        <v>0</v>
      </c>
      <c r="AB37" s="919" t="e">
        <f t="shared" ref="AB37:AD39" ca="1" si="7">Q37*$AD$27</f>
        <v>#NAME?</v>
      </c>
      <c r="AC37" s="918" t="e">
        <f t="shared" ca="1" si="7"/>
        <v>#NAME?</v>
      </c>
      <c r="AD37" s="917" t="e">
        <f t="shared" ca="1" si="7"/>
        <v>#NAME?</v>
      </c>
      <c r="AE37" s="911">
        <v>0</v>
      </c>
      <c r="AF37" s="911">
        <v>0</v>
      </c>
      <c r="AG37" s="923">
        <v>0</v>
      </c>
      <c r="AH37"/>
      <c r="AY37" s="876"/>
      <c r="AZ37" s="876"/>
      <c r="BA37" s="876"/>
      <c r="BB37" s="876"/>
      <c r="BC37" s="876"/>
    </row>
    <row r="38" spans="1:55" ht="15" customHeight="1" x14ac:dyDescent="0.2">
      <c r="A38" s="913">
        <v>13</v>
      </c>
      <c r="B38" s="912">
        <v>0</v>
      </c>
      <c r="C38" s="915">
        <v>0</v>
      </c>
      <c r="D38" s="915">
        <v>0</v>
      </c>
      <c r="E38" s="915">
        <v>0</v>
      </c>
      <c r="F38" s="916" t="e">
        <f ca="1"/>
        <v>#NAME?</v>
      </c>
      <c r="G38" s="915" t="e">
        <f ca="1"/>
        <v>#NAME?</v>
      </c>
      <c r="H38" s="914" t="e">
        <f ca="1"/>
        <v>#NAME?</v>
      </c>
      <c r="I38" s="915">
        <v>0</v>
      </c>
      <c r="J38" s="915">
        <v>0</v>
      </c>
      <c r="K38" s="914">
        <v>0</v>
      </c>
      <c r="L38" s="913">
        <v>13</v>
      </c>
      <c r="M38" s="912" t="e">
        <f ca="1"/>
        <v>#NAME?</v>
      </c>
      <c r="N38" s="915" t="e">
        <f ca="1"/>
        <v>#NAME?</v>
      </c>
      <c r="O38" s="915" t="e">
        <f ca="1"/>
        <v>#NAME?</v>
      </c>
      <c r="P38" s="915" t="e">
        <f ca="1"/>
        <v>#NAME?</v>
      </c>
      <c r="Q38" s="916" t="e">
        <f ca="1"/>
        <v>#NAME?</v>
      </c>
      <c r="R38" s="915" t="e">
        <f ca="1"/>
        <v>#NAME?</v>
      </c>
      <c r="S38" s="914" t="e">
        <f ca="1"/>
        <v>#NAME?</v>
      </c>
      <c r="T38" s="915" t="e">
        <f ca="1"/>
        <v>#NAME?</v>
      </c>
      <c r="U38" s="915" t="e">
        <f ca="1"/>
        <v>#NAME?</v>
      </c>
      <c r="V38" s="914" t="e">
        <f ca="1"/>
        <v>#NAME?</v>
      </c>
      <c r="W38" s="913">
        <v>13</v>
      </c>
      <c r="X38" s="912">
        <v>0</v>
      </c>
      <c r="Y38" s="911">
        <v>0</v>
      </c>
      <c r="Z38" s="911">
        <v>0</v>
      </c>
      <c r="AA38" s="911">
        <v>0</v>
      </c>
      <c r="AB38" s="910" t="e">
        <f t="shared" ca="1" si="7"/>
        <v>#NAME?</v>
      </c>
      <c r="AC38" s="876" t="e">
        <f t="shared" ca="1" si="7"/>
        <v>#NAME?</v>
      </c>
      <c r="AD38" s="909" t="e">
        <f t="shared" ca="1" si="7"/>
        <v>#NAME?</v>
      </c>
      <c r="AE38" s="911">
        <v>0</v>
      </c>
      <c r="AF38" s="911">
        <v>0</v>
      </c>
      <c r="AG38" s="923">
        <v>0</v>
      </c>
      <c r="AH38"/>
      <c r="AY38" s="876"/>
      <c r="AZ38" s="876"/>
      <c r="BA38" s="876"/>
      <c r="BB38" s="876"/>
      <c r="BC38" s="876"/>
    </row>
    <row r="39" spans="1:55" ht="15" customHeight="1" x14ac:dyDescent="0.2">
      <c r="A39" s="905">
        <v>23</v>
      </c>
      <c r="B39" s="912">
        <v>0</v>
      </c>
      <c r="C39" s="915">
        <v>0</v>
      </c>
      <c r="D39" s="915">
        <v>0</v>
      </c>
      <c r="E39" s="915">
        <v>0</v>
      </c>
      <c r="F39" s="908" t="e">
        <f ca="1"/>
        <v>#NAME?</v>
      </c>
      <c r="G39" s="907" t="e">
        <f ca="1"/>
        <v>#NAME?</v>
      </c>
      <c r="H39" s="906" t="e">
        <f ca="1"/>
        <v>#NAME?</v>
      </c>
      <c r="I39" s="915">
        <v>0</v>
      </c>
      <c r="J39" s="915">
        <v>0</v>
      </c>
      <c r="K39" s="914">
        <v>0</v>
      </c>
      <c r="L39" s="905">
        <v>23</v>
      </c>
      <c r="M39" s="912" t="e">
        <f ca="1"/>
        <v>#NAME?</v>
      </c>
      <c r="N39" s="915" t="e">
        <f ca="1"/>
        <v>#NAME?</v>
      </c>
      <c r="O39" s="915" t="e">
        <f ca="1"/>
        <v>#NAME?</v>
      </c>
      <c r="P39" s="915" t="e">
        <f ca="1"/>
        <v>#NAME?</v>
      </c>
      <c r="Q39" s="908" t="e">
        <f ca="1"/>
        <v>#NAME?</v>
      </c>
      <c r="R39" s="907" t="e">
        <f ca="1"/>
        <v>#NAME?</v>
      </c>
      <c r="S39" s="906" t="e">
        <f ca="1"/>
        <v>#NAME?</v>
      </c>
      <c r="T39" s="915" t="e">
        <f ca="1"/>
        <v>#NAME?</v>
      </c>
      <c r="U39" s="915" t="e">
        <f ca="1"/>
        <v>#NAME?</v>
      </c>
      <c r="V39" s="914" t="e">
        <f ca="1"/>
        <v>#NAME?</v>
      </c>
      <c r="W39" s="905">
        <v>23</v>
      </c>
      <c r="X39" s="912">
        <v>0</v>
      </c>
      <c r="Y39" s="911">
        <v>0</v>
      </c>
      <c r="Z39" s="911">
        <v>0</v>
      </c>
      <c r="AA39" s="911">
        <v>0</v>
      </c>
      <c r="AB39" s="902" t="e">
        <f t="shared" ca="1" si="7"/>
        <v>#NAME?</v>
      </c>
      <c r="AC39" s="892" t="e">
        <f t="shared" ca="1" si="7"/>
        <v>#NAME?</v>
      </c>
      <c r="AD39" s="901" t="e">
        <f t="shared" ca="1" si="7"/>
        <v>#NAME?</v>
      </c>
      <c r="AE39" s="911">
        <v>0</v>
      </c>
      <c r="AF39" s="911">
        <v>0</v>
      </c>
      <c r="AG39" s="923">
        <v>0</v>
      </c>
      <c r="AH39"/>
      <c r="AY39" s="876"/>
      <c r="AZ39" s="876"/>
      <c r="BA39" s="876"/>
      <c r="BB39" s="876"/>
      <c r="BC39" s="876"/>
    </row>
    <row r="40" spans="1:55" ht="15" customHeight="1" x14ac:dyDescent="0.2">
      <c r="A40" s="913">
        <v>11</v>
      </c>
      <c r="B40" s="912">
        <v>0</v>
      </c>
      <c r="C40" s="915">
        <v>0</v>
      </c>
      <c r="D40" s="915">
        <v>0</v>
      </c>
      <c r="E40" s="915">
        <v>0</v>
      </c>
      <c r="F40" s="915">
        <v>0</v>
      </c>
      <c r="G40" s="915">
        <v>0</v>
      </c>
      <c r="H40" s="915">
        <v>0</v>
      </c>
      <c r="I40" s="922" t="e">
        <f t="array" aca="1" ref="I40:K42" ca="1">[5]!MSQRT(MMULT(TRANSPOSE(X_3),X_3))</f>
        <v>#NAME?</v>
      </c>
      <c r="J40" s="921" t="e">
        <f ca="1"/>
        <v>#NAME?</v>
      </c>
      <c r="K40" s="920" t="e">
        <f ca="1"/>
        <v>#NAME?</v>
      </c>
      <c r="L40" s="913">
        <v>11</v>
      </c>
      <c r="M40" s="912" t="e">
        <f ca="1"/>
        <v>#NAME?</v>
      </c>
      <c r="N40" s="915" t="e">
        <f ca="1"/>
        <v>#NAME?</v>
      </c>
      <c r="O40" s="915" t="e">
        <f ca="1"/>
        <v>#NAME?</v>
      </c>
      <c r="P40" s="915" t="e">
        <f ca="1"/>
        <v>#NAME?</v>
      </c>
      <c r="Q40" s="915" t="e">
        <f ca="1"/>
        <v>#NAME?</v>
      </c>
      <c r="R40" s="915" t="e">
        <f ca="1"/>
        <v>#NAME?</v>
      </c>
      <c r="S40" s="915" t="e">
        <f ca="1"/>
        <v>#NAME?</v>
      </c>
      <c r="T40" s="922" t="e">
        <f ca="1"/>
        <v>#NAME?</v>
      </c>
      <c r="U40" s="921" t="e">
        <f ca="1"/>
        <v>#NAME?</v>
      </c>
      <c r="V40" s="920" t="e">
        <f ca="1"/>
        <v>#NAME?</v>
      </c>
      <c r="W40" s="913">
        <v>11</v>
      </c>
      <c r="X40" s="912">
        <v>0</v>
      </c>
      <c r="Y40" s="911">
        <v>0</v>
      </c>
      <c r="Z40" s="911">
        <v>0</v>
      </c>
      <c r="AA40" s="911">
        <v>0</v>
      </c>
      <c r="AB40" s="911">
        <v>0</v>
      </c>
      <c r="AC40" s="911">
        <v>0</v>
      </c>
      <c r="AD40" s="911">
        <v>0</v>
      </c>
      <c r="AE40" s="919" t="e">
        <f t="shared" ref="AE40:AG42" ca="1" si="8">T40*$AD$28</f>
        <v>#NAME?</v>
      </c>
      <c r="AF40" s="918" t="e">
        <f t="shared" ca="1" si="8"/>
        <v>#NAME?</v>
      </c>
      <c r="AG40" s="917" t="e">
        <f t="shared" ca="1" si="8"/>
        <v>#NAME?</v>
      </c>
      <c r="AH40"/>
    </row>
    <row r="41" spans="1:55" ht="15" customHeight="1" x14ac:dyDescent="0.2">
      <c r="A41" s="913">
        <v>22</v>
      </c>
      <c r="B41" s="912">
        <v>0</v>
      </c>
      <c r="C41" s="915">
        <v>0</v>
      </c>
      <c r="D41" s="915">
        <v>0</v>
      </c>
      <c r="E41" s="915">
        <v>0</v>
      </c>
      <c r="F41" s="915">
        <v>0</v>
      </c>
      <c r="G41" s="915">
        <v>0</v>
      </c>
      <c r="H41" s="915">
        <v>0</v>
      </c>
      <c r="I41" s="916" t="e">
        <f ca="1"/>
        <v>#NAME?</v>
      </c>
      <c r="J41" s="915" t="e">
        <f ca="1"/>
        <v>#NAME?</v>
      </c>
      <c r="K41" s="914" t="e">
        <f ca="1"/>
        <v>#NAME?</v>
      </c>
      <c r="L41" s="913">
        <v>22</v>
      </c>
      <c r="M41" s="912" t="e">
        <f ca="1"/>
        <v>#NAME?</v>
      </c>
      <c r="N41" s="915" t="e">
        <f ca="1"/>
        <v>#NAME?</v>
      </c>
      <c r="O41" s="915" t="e">
        <f ca="1"/>
        <v>#NAME?</v>
      </c>
      <c r="P41" s="915" t="e">
        <f ca="1"/>
        <v>#NAME?</v>
      </c>
      <c r="Q41" s="915" t="e">
        <f ca="1"/>
        <v>#NAME?</v>
      </c>
      <c r="R41" s="915" t="e">
        <f ca="1"/>
        <v>#NAME?</v>
      </c>
      <c r="S41" s="915" t="e">
        <f ca="1"/>
        <v>#NAME?</v>
      </c>
      <c r="T41" s="916" t="e">
        <f ca="1"/>
        <v>#NAME?</v>
      </c>
      <c r="U41" s="915" t="e">
        <f ca="1"/>
        <v>#NAME?</v>
      </c>
      <c r="V41" s="914" t="e">
        <f ca="1"/>
        <v>#NAME?</v>
      </c>
      <c r="W41" s="913">
        <v>22</v>
      </c>
      <c r="X41" s="912">
        <v>0</v>
      </c>
      <c r="Y41" s="911">
        <v>0</v>
      </c>
      <c r="Z41" s="911">
        <v>0</v>
      </c>
      <c r="AA41" s="911">
        <v>0</v>
      </c>
      <c r="AB41" s="911">
        <v>0</v>
      </c>
      <c r="AC41" s="911">
        <v>0</v>
      </c>
      <c r="AD41" s="911">
        <v>0</v>
      </c>
      <c r="AE41" s="910" t="e">
        <f t="shared" ca="1" si="8"/>
        <v>#NAME?</v>
      </c>
      <c r="AF41" s="876" t="e">
        <f t="shared" ca="1" si="8"/>
        <v>#NAME?</v>
      </c>
      <c r="AG41" s="909" t="e">
        <f t="shared" ca="1" si="8"/>
        <v>#NAME?</v>
      </c>
      <c r="AH41"/>
    </row>
    <row r="42" spans="1:55" ht="15" customHeight="1" x14ac:dyDescent="0.2">
      <c r="A42" s="905">
        <v>33</v>
      </c>
      <c r="B42" s="904">
        <v>0</v>
      </c>
      <c r="C42" s="907">
        <v>0</v>
      </c>
      <c r="D42" s="907">
        <v>0</v>
      </c>
      <c r="E42" s="907">
        <v>0</v>
      </c>
      <c r="F42" s="907">
        <v>0</v>
      </c>
      <c r="G42" s="907">
        <v>0</v>
      </c>
      <c r="H42" s="907">
        <v>0</v>
      </c>
      <c r="I42" s="908" t="e">
        <f ca="1"/>
        <v>#NAME?</v>
      </c>
      <c r="J42" s="907" t="e">
        <f ca="1"/>
        <v>#NAME?</v>
      </c>
      <c r="K42" s="906" t="e">
        <f ca="1"/>
        <v>#NAME?</v>
      </c>
      <c r="L42" s="905">
        <v>33</v>
      </c>
      <c r="M42" s="904" t="e">
        <f ca="1"/>
        <v>#NAME?</v>
      </c>
      <c r="N42" s="907" t="e">
        <f ca="1"/>
        <v>#NAME?</v>
      </c>
      <c r="O42" s="907" t="e">
        <f ca="1"/>
        <v>#NAME?</v>
      </c>
      <c r="P42" s="907" t="e">
        <f ca="1"/>
        <v>#NAME?</v>
      </c>
      <c r="Q42" s="907" t="e">
        <f ca="1"/>
        <v>#NAME?</v>
      </c>
      <c r="R42" s="907" t="e">
        <f ca="1"/>
        <v>#NAME?</v>
      </c>
      <c r="S42" s="907" t="e">
        <f ca="1"/>
        <v>#NAME?</v>
      </c>
      <c r="T42" s="908" t="e">
        <f ca="1"/>
        <v>#NAME?</v>
      </c>
      <c r="U42" s="907" t="e">
        <f ca="1"/>
        <v>#NAME?</v>
      </c>
      <c r="V42" s="906" t="e">
        <f ca="1"/>
        <v>#NAME?</v>
      </c>
      <c r="W42" s="905">
        <v>33</v>
      </c>
      <c r="X42" s="904">
        <v>0</v>
      </c>
      <c r="Y42" s="903">
        <v>0</v>
      </c>
      <c r="Z42" s="903">
        <v>0</v>
      </c>
      <c r="AA42" s="903">
        <v>0</v>
      </c>
      <c r="AB42" s="903">
        <v>0</v>
      </c>
      <c r="AC42" s="903">
        <v>0</v>
      </c>
      <c r="AD42" s="903">
        <v>0</v>
      </c>
      <c r="AE42" s="902" t="e">
        <f t="shared" ca="1" si="8"/>
        <v>#NAME?</v>
      </c>
      <c r="AF42" s="892" t="e">
        <f t="shared" ca="1" si="8"/>
        <v>#NAME?</v>
      </c>
      <c r="AG42" s="901" t="e">
        <f t="shared" ca="1" si="8"/>
        <v>#NAME?</v>
      </c>
      <c r="AH42"/>
    </row>
    <row r="43" spans="1:55" ht="15" customHeight="1" x14ac:dyDescent="0.2">
      <c r="A43" s="1386" t="s">
        <v>27</v>
      </c>
      <c r="B43" s="1318"/>
      <c r="C43" s="1318"/>
      <c r="D43" s="1318"/>
      <c r="E43" s="1318"/>
      <c r="F43" s="1318"/>
      <c r="G43" s="1318"/>
      <c r="H43" s="1318"/>
      <c r="I43" s="1318"/>
      <c r="J43" s="1319"/>
      <c r="V43"/>
      <c r="W43"/>
      <c r="X43"/>
      <c r="Y43"/>
      <c r="AB43"/>
      <c r="AC43"/>
      <c r="AD43"/>
      <c r="AE43"/>
      <c r="AF43"/>
      <c r="AG43"/>
      <c r="AH43"/>
    </row>
    <row r="44" spans="1:55" ht="15" customHeight="1" x14ac:dyDescent="0.2">
      <c r="A44" s="900"/>
      <c r="B44" s="898" t="s">
        <v>30</v>
      </c>
      <c r="C44" s="898" t="s">
        <v>31</v>
      </c>
      <c r="D44" s="898" t="s">
        <v>32</v>
      </c>
      <c r="E44" s="898" t="s">
        <v>3</v>
      </c>
      <c r="F44" s="897" t="s">
        <v>33</v>
      </c>
      <c r="G44" s="1386" t="s">
        <v>30</v>
      </c>
      <c r="H44" s="1387"/>
      <c r="I44" s="898" t="s">
        <v>3</v>
      </c>
      <c r="J44" s="897" t="s">
        <v>33</v>
      </c>
      <c r="V44"/>
    </row>
    <row r="45" spans="1:55" ht="15" customHeight="1" x14ac:dyDescent="0.2">
      <c r="A45" s="896">
        <v>1</v>
      </c>
      <c r="B45" s="876" t="e">
        <f ca="1">AB26^2</f>
        <v>#NAME?</v>
      </c>
      <c r="C45" s="875">
        <v>3</v>
      </c>
      <c r="D45" s="895" t="e">
        <f ca="1">B45/C45</f>
        <v>#NAME?</v>
      </c>
      <c r="E45" s="895" t="e">
        <f ca="1">D45/D$49</f>
        <v>#NAME?</v>
      </c>
      <c r="F45" s="894" t="e">
        <f ca="1">FDIST(E45,C45,C$49)</f>
        <v>#NAME?</v>
      </c>
      <c r="G45" s="1379" t="e">
        <f ca="1">SUM(H45:H47)</f>
        <v>#NAME?</v>
      </c>
      <c r="H45" s="888" t="e">
        <f t="shared" ref="H45:H53" ca="1" si="9">Z21^2</f>
        <v>#NAME?</v>
      </c>
      <c r="I45" s="887" t="e">
        <f t="shared" ref="I45:I53" ca="1" si="10">H45/D$49</f>
        <v>#NAME?</v>
      </c>
      <c r="J45" s="886" t="e">
        <f t="shared" ref="J45:J53" ca="1" si="11">FDIST(I45,1,C$49)</f>
        <v>#NAME?</v>
      </c>
      <c r="V45"/>
    </row>
    <row r="46" spans="1:55" ht="15" customHeight="1" x14ac:dyDescent="0.2">
      <c r="A46" s="896">
        <v>2</v>
      </c>
      <c r="B46" s="876" t="e">
        <f ca="1">AB27^2</f>
        <v>#NAME?</v>
      </c>
      <c r="C46" s="875">
        <v>3</v>
      </c>
      <c r="D46" s="895" t="e">
        <f ca="1">B46/C46</f>
        <v>#NAME?</v>
      </c>
      <c r="E46" s="895" t="e">
        <f ca="1">D46/D$49</f>
        <v>#NAME?</v>
      </c>
      <c r="F46" s="894" t="e">
        <f ca="1">FDIST(E46,C46,C$49)</f>
        <v>#NAME?</v>
      </c>
      <c r="G46" s="1380"/>
      <c r="H46" s="884" t="e">
        <f t="shared" ca="1" si="9"/>
        <v>#NAME?</v>
      </c>
      <c r="I46" s="883" t="e">
        <f t="shared" ca="1" si="10"/>
        <v>#NAME?</v>
      </c>
      <c r="J46" s="882" t="e">
        <f t="shared" ca="1" si="11"/>
        <v>#NAME?</v>
      </c>
    </row>
    <row r="47" spans="1:55" ht="15" customHeight="1" x14ac:dyDescent="0.2">
      <c r="A47" s="893">
        <v>3</v>
      </c>
      <c r="B47" s="892" t="e">
        <f ca="1">AB28^2</f>
        <v>#NAME?</v>
      </c>
      <c r="C47" s="891">
        <v>3</v>
      </c>
      <c r="D47" s="890" t="e">
        <f ca="1">B47/C47</f>
        <v>#NAME?</v>
      </c>
      <c r="E47" s="890" t="e">
        <f ca="1">D47/D$49</f>
        <v>#NAME?</v>
      </c>
      <c r="F47" s="889" t="e">
        <f ca="1">FDIST(E47,C47,C$49)</f>
        <v>#NAME?</v>
      </c>
      <c r="G47" s="1381"/>
      <c r="H47" s="880" t="e">
        <f t="shared" ca="1" si="9"/>
        <v>#NAME?</v>
      </c>
      <c r="I47" s="879" t="e">
        <f t="shared" ca="1" si="10"/>
        <v>#NAME?</v>
      </c>
      <c r="J47" s="878" t="e">
        <f t="shared" ca="1" si="11"/>
        <v>#NAME?</v>
      </c>
    </row>
    <row r="48" spans="1:55" ht="15" customHeight="1" x14ac:dyDescent="0.2">
      <c r="A48" s="896" t="s">
        <v>5</v>
      </c>
      <c r="B48" s="876" t="e">
        <f ca="1">SUMSQ(y_hat)-COUNT(y)*AVERAGE(y)^2</f>
        <v>#NAME?</v>
      </c>
      <c r="C48" s="875">
        <f ca="1">COUNT(a)-1</f>
        <v>-1</v>
      </c>
      <c r="D48" s="895" t="e">
        <f ca="1">B48/C48</f>
        <v>#NAME?</v>
      </c>
      <c r="E48" s="895" t="e">
        <f ca="1">D48/D$49</f>
        <v>#NAME?</v>
      </c>
      <c r="F48" s="894" t="e">
        <f ca="1">FDIST(E48,C48,C$49)</f>
        <v>#NAME?</v>
      </c>
      <c r="G48" s="1379" t="e">
        <f ca="1">SUM(H48:H50)</f>
        <v>#NAME?</v>
      </c>
      <c r="H48" s="884" t="e">
        <f t="shared" ca="1" si="9"/>
        <v>#NAME?</v>
      </c>
      <c r="I48" s="887" t="e">
        <f t="shared" ca="1" si="10"/>
        <v>#NAME?</v>
      </c>
      <c r="J48" s="886" t="e">
        <f t="shared" ca="1" si="11"/>
        <v>#NAME?</v>
      </c>
    </row>
    <row r="49" spans="1:32" ht="15" customHeight="1" x14ac:dyDescent="0.2">
      <c r="A49" s="893" t="s">
        <v>6</v>
      </c>
      <c r="B49" s="892" t="e">
        <f ca="1">SUMSQ(y)-SUMSQ(y_hat)</f>
        <v>#NAME?</v>
      </c>
      <c r="C49" s="891">
        <f ca="1">COUNT(y)-COUNT(a)</f>
        <v>16</v>
      </c>
      <c r="D49" s="895" t="e">
        <f ca="1">B49/C49</f>
        <v>#NAME?</v>
      </c>
      <c r="E49" s="895"/>
      <c r="F49" s="894"/>
      <c r="G49" s="1380"/>
      <c r="H49" s="884" t="e">
        <f t="shared" ca="1" si="9"/>
        <v>#NAME?</v>
      </c>
      <c r="I49" s="883" t="e">
        <f t="shared" ca="1" si="10"/>
        <v>#NAME?</v>
      </c>
      <c r="J49" s="882" t="e">
        <f t="shared" ca="1" si="11"/>
        <v>#NAME?</v>
      </c>
    </row>
    <row r="50" spans="1:32" ht="15" customHeight="1" x14ac:dyDescent="0.2">
      <c r="A50" s="893" t="s">
        <v>7</v>
      </c>
      <c r="B50" s="892">
        <f>SUMSQ(y)-COUNT(y)*AVERAGE(y)^2</f>
        <v>22.280822853727813</v>
      </c>
      <c r="C50" s="891">
        <f>COUNT(y)-1</f>
        <v>15</v>
      </c>
      <c r="D50" s="891"/>
      <c r="E50" s="890"/>
      <c r="F50" s="889"/>
      <c r="G50" s="1381"/>
      <c r="H50" s="884" t="e">
        <f t="shared" ca="1" si="9"/>
        <v>#NAME?</v>
      </c>
      <c r="I50" s="879" t="e">
        <f t="shared" ca="1" si="10"/>
        <v>#NAME?</v>
      </c>
      <c r="J50" s="878" t="e">
        <f t="shared" ca="1" si="11"/>
        <v>#NAME?</v>
      </c>
    </row>
    <row r="51" spans="1:32" ht="15" customHeight="1" x14ac:dyDescent="0.2">
      <c r="G51" s="1379" t="e">
        <f ca="1">SUM(H51:H53)</f>
        <v>#NAME?</v>
      </c>
      <c r="H51" s="888" t="e">
        <f t="shared" ca="1" si="9"/>
        <v>#NAME?</v>
      </c>
      <c r="I51" s="887" t="e">
        <f t="shared" ca="1" si="10"/>
        <v>#NAME?</v>
      </c>
      <c r="J51" s="886" t="e">
        <f t="shared" ca="1" si="11"/>
        <v>#NAME?</v>
      </c>
    </row>
    <row r="52" spans="1:32" ht="15" customHeight="1" x14ac:dyDescent="0.2">
      <c r="G52" s="1380"/>
      <c r="H52" s="884" t="e">
        <f t="shared" ca="1" si="9"/>
        <v>#NAME?</v>
      </c>
      <c r="I52" s="883" t="e">
        <f t="shared" ca="1" si="10"/>
        <v>#NAME?</v>
      </c>
      <c r="J52" s="882" t="e">
        <f t="shared" ca="1" si="11"/>
        <v>#NAME?</v>
      </c>
    </row>
    <row r="53" spans="1:32" ht="15" customHeight="1" x14ac:dyDescent="0.2">
      <c r="D53" s="1"/>
      <c r="G53" s="1381"/>
      <c r="H53" s="880" t="e">
        <f t="shared" ca="1" si="9"/>
        <v>#NAME?</v>
      </c>
      <c r="I53" s="879" t="e">
        <f t="shared" ca="1" si="10"/>
        <v>#NAME?</v>
      </c>
      <c r="J53" s="878" t="e">
        <f t="shared" ca="1" si="11"/>
        <v>#NAME?</v>
      </c>
    </row>
    <row r="54" spans="1:32" ht="15" customHeight="1" x14ac:dyDescent="0.2">
      <c r="L54"/>
    </row>
    <row r="55" spans="1:32" ht="15" customHeight="1" x14ac:dyDescent="0.2">
      <c r="L55"/>
    </row>
    <row r="56" spans="1:32" ht="15" customHeight="1" x14ac:dyDescent="0.2">
      <c r="L56"/>
      <c r="X56"/>
    </row>
    <row r="57" spans="1:32" ht="15" customHeight="1" x14ac:dyDescent="0.2">
      <c r="L57"/>
      <c r="X57"/>
    </row>
    <row r="58" spans="1:32" ht="15" customHeight="1" x14ac:dyDescent="0.2">
      <c r="X58" s="1"/>
    </row>
    <row r="59" spans="1:32" ht="15" customHeight="1" x14ac:dyDescent="0.2">
      <c r="X59" s="1"/>
    </row>
    <row r="60" spans="1:32" ht="15" customHeight="1" x14ac:dyDescent="0.2">
      <c r="X60" s="1"/>
    </row>
    <row r="61" spans="1:32" ht="15" customHeight="1" x14ac:dyDescent="0.2">
      <c r="X61" s="1"/>
    </row>
    <row r="62" spans="1:32" ht="15" customHeight="1" x14ac:dyDescent="0.2">
      <c r="X62" s="1"/>
      <c r="Y62" s="1"/>
      <c r="Z62" s="1"/>
      <c r="AA62" s="1"/>
      <c r="AB62" s="1"/>
      <c r="AC62" s="1"/>
      <c r="AD62" s="1"/>
      <c r="AE62" s="1"/>
      <c r="AF62" s="1"/>
    </row>
    <row r="63" spans="1:32" ht="15" customHeight="1" x14ac:dyDescent="0.2">
      <c r="X63" s="1"/>
      <c r="Y63" s="1"/>
      <c r="Z63" s="1"/>
      <c r="AA63" s="1"/>
      <c r="AB63" s="1"/>
      <c r="AC63" s="1"/>
      <c r="AD63" s="1"/>
      <c r="AE63" s="1"/>
      <c r="AF63" s="1"/>
    </row>
    <row r="64" spans="1:32" ht="15" customHeight="1" x14ac:dyDescent="0.2">
      <c r="X64" s="1"/>
      <c r="Y64" s="1"/>
      <c r="Z64" s="1"/>
      <c r="AA64" s="1"/>
      <c r="AB64" s="1"/>
      <c r="AC64" s="1"/>
      <c r="AD64" s="1"/>
      <c r="AE64" s="1"/>
      <c r="AF64" s="1"/>
    </row>
    <row r="65" spans="1:34" ht="15" customHeight="1" x14ac:dyDescent="0.2">
      <c r="X65" s="1"/>
      <c r="Y65" s="1"/>
      <c r="Z65" s="1"/>
      <c r="AA65" s="1"/>
      <c r="AB65" s="1"/>
      <c r="AC65" s="1"/>
      <c r="AD65" s="1"/>
      <c r="AE65" s="1"/>
      <c r="AF65" s="1"/>
    </row>
    <row r="69" spans="1:34" ht="15" customHeight="1" x14ac:dyDescent="0.2">
      <c r="A69" s="1"/>
    </row>
    <row r="70" spans="1:34" ht="15" customHeight="1" x14ac:dyDescent="0.2">
      <c r="A70" s="1"/>
    </row>
    <row r="71" spans="1:34" ht="15" customHeight="1" x14ac:dyDescent="0.2">
      <c r="A71" s="1"/>
      <c r="AG71"/>
      <c r="AH71"/>
    </row>
    <row r="72" spans="1:34" ht="15" customHeight="1" x14ac:dyDescent="0.2">
      <c r="A72" s="1"/>
      <c r="AG72"/>
      <c r="AH72"/>
    </row>
    <row r="73" spans="1:34" ht="15" customHeight="1" x14ac:dyDescent="0.2">
      <c r="A73" s="1"/>
      <c r="AA73" s="1"/>
      <c r="AG73"/>
      <c r="AH73"/>
    </row>
    <row r="74" spans="1:34" ht="15" customHeight="1" x14ac:dyDescent="0.2">
      <c r="A74" s="1"/>
      <c r="X74" s="1"/>
      <c r="Y74" s="1"/>
      <c r="Z74" s="1"/>
      <c r="AA74" s="1"/>
      <c r="AB74" s="1"/>
      <c r="AC74" s="1"/>
      <c r="AD74" s="1"/>
      <c r="AE74" s="1"/>
      <c r="AF74" s="1"/>
      <c r="AG74"/>
      <c r="AH74"/>
    </row>
    <row r="75" spans="1:34" ht="15" customHeight="1" x14ac:dyDescent="0.2">
      <c r="A75" s="1"/>
      <c r="X75" s="1"/>
      <c r="Y75" s="1"/>
      <c r="Z75" s="1"/>
      <c r="AA75" s="1"/>
      <c r="AB75" s="1"/>
      <c r="AC75" s="1"/>
      <c r="AD75" s="1"/>
      <c r="AE75" s="1"/>
      <c r="AF75" s="1"/>
      <c r="AG75"/>
      <c r="AH75"/>
    </row>
    <row r="76" spans="1:34" ht="15" customHeight="1" x14ac:dyDescent="0.2">
      <c r="A76" s="1"/>
      <c r="X76" s="1"/>
      <c r="Y76" s="1"/>
      <c r="Z76" s="1"/>
      <c r="AA76" s="1"/>
      <c r="AB76" s="1"/>
      <c r="AC76" s="1"/>
      <c r="AD76" s="1"/>
      <c r="AE76" s="1"/>
      <c r="AF76" s="1"/>
      <c r="AG76"/>
      <c r="AH76"/>
    </row>
    <row r="77" spans="1:34" ht="15" customHeight="1" x14ac:dyDescent="0.2">
      <c r="A77" s="1"/>
      <c r="X77" s="1"/>
      <c r="Y77" s="1"/>
      <c r="Z77" s="1"/>
      <c r="AA77" s="1"/>
      <c r="AB77" s="1"/>
      <c r="AC77" s="1"/>
      <c r="AD77" s="1"/>
      <c r="AE77" s="1"/>
      <c r="AF77" s="1"/>
      <c r="AG77"/>
      <c r="AH77"/>
    </row>
    <row r="78" spans="1:34" ht="15" customHeight="1" x14ac:dyDescent="0.2">
      <c r="A78" s="1"/>
      <c r="AG78"/>
      <c r="AH78"/>
    </row>
    <row r="79" spans="1:34" ht="15" customHeight="1" x14ac:dyDescent="0.2">
      <c r="A79" s="1"/>
      <c r="AG79"/>
      <c r="AH79"/>
    </row>
    <row r="80" spans="1:34" ht="15" customHeight="1" x14ac:dyDescent="0.2">
      <c r="A80" s="1"/>
      <c r="AG80"/>
      <c r="AH80"/>
    </row>
    <row r="81" spans="1:34" ht="15" customHeight="1" x14ac:dyDescent="0.2">
      <c r="A81" s="1"/>
      <c r="AG81"/>
      <c r="AH81"/>
    </row>
    <row r="82" spans="1:34" ht="15" customHeight="1" x14ac:dyDescent="0.2">
      <c r="A82" s="1"/>
      <c r="AG82"/>
      <c r="AH82"/>
    </row>
    <row r="83" spans="1:34" ht="15" customHeight="1" x14ac:dyDescent="0.2">
      <c r="A83" s="1"/>
      <c r="AG83"/>
      <c r="AH83"/>
    </row>
    <row r="84" spans="1:34" ht="15" customHeight="1" x14ac:dyDescent="0.2">
      <c r="A84" s="1"/>
      <c r="AG84"/>
      <c r="AH84"/>
    </row>
    <row r="85" spans="1:34" ht="15" customHeight="1" x14ac:dyDescent="0.2">
      <c r="A85" s="1"/>
      <c r="AG85"/>
      <c r="AH85"/>
    </row>
    <row r="86" spans="1:34" ht="15" customHeight="1" x14ac:dyDescent="0.2">
      <c r="A86" s="1"/>
    </row>
    <row r="87" spans="1:34" ht="15" customHeight="1" x14ac:dyDescent="0.2">
      <c r="A87" s="1"/>
    </row>
    <row r="88" spans="1:34" ht="15" customHeight="1" x14ac:dyDescent="0.2">
      <c r="A88" s="1"/>
    </row>
    <row r="89" spans="1:34" ht="15" customHeight="1" x14ac:dyDescent="0.2">
      <c r="A89" s="1"/>
    </row>
  </sheetData>
  <mergeCells count="15">
    <mergeCell ref="G51:G53"/>
    <mergeCell ref="B31:K31"/>
    <mergeCell ref="X31:AG31"/>
    <mergeCell ref="X1:Z1"/>
    <mergeCell ref="A43:J43"/>
    <mergeCell ref="M31:V31"/>
    <mergeCell ref="G48:G50"/>
    <mergeCell ref="G45:G47"/>
    <mergeCell ref="G44:H44"/>
    <mergeCell ref="B1:K1"/>
    <mergeCell ref="AB1:AE1"/>
    <mergeCell ref="AB19:AE19"/>
    <mergeCell ref="M1:V1"/>
    <mergeCell ref="B19:K19"/>
    <mergeCell ref="M19:V19"/>
  </mergeCells>
  <conditionalFormatting sqref="M25:P27 M28:S30">
    <cfRule type="cellIs" dxfId="67" priority="4" operator="between">
      <formula>-0.0001</formula>
      <formula>0.0001</formula>
    </cfRule>
  </conditionalFormatting>
  <conditionalFormatting sqref="M33:V42">
    <cfRule type="cellIs" dxfId="66" priority="2" operator="between">
      <formula>-0.0001</formula>
      <formula>0.0001</formula>
    </cfRule>
  </conditionalFormatting>
  <conditionalFormatting sqref="N21:V21 M21:M24 Q22:V24 T25:V27">
    <cfRule type="cellIs" dxfId="65" priority="3" operator="between">
      <formula>-0.0001</formula>
      <formula>0.0001</formula>
    </cfRule>
  </conditionalFormatting>
  <conditionalFormatting sqref="W21:W29 B21:V30 W32 B33:K42 X33:AG42">
    <cfRule type="cellIs" dxfId="64" priority="5" operator="between">
      <formula>-0.0001</formula>
      <formula>0.0001</formula>
    </cfRule>
  </conditionalFormatting>
  <conditionalFormatting sqref="X37:AA39 X40:AD42">
    <cfRule type="cellIs" dxfId="63" priority="7" operator="between">
      <formula>-0.0001</formula>
      <formula>0.0001</formula>
    </cfRule>
  </conditionalFormatting>
  <conditionalFormatting sqref="Z20:Z23 Z24:AA24 AE25:AE28 L32">
    <cfRule type="cellIs" dxfId="62" priority="1" operator="between">
      <formula>-0.0001</formula>
      <formula>0.0001</formula>
    </cfRule>
  </conditionalFormatting>
  <conditionalFormatting sqref="Z25:Z28 Z29:AA29 X33:X36">
    <cfRule type="cellIs" dxfId="61" priority="6" operator="between">
      <formula>-0.0001</formula>
      <formula>0.0001</formula>
    </cfRule>
  </conditionalFormatting>
  <conditionalFormatting sqref="Z18:AA18 AB20:AE23">
    <cfRule type="cellIs" dxfId="60" priority="8" operator="between">
      <formula>-0.0001</formula>
      <formula>0.0001</formula>
    </cfRule>
  </conditionalFormatting>
  <pageMargins left="0.7" right="0.7" top="0.75" bottom="0.75" header="0.3" footer="0.3"/>
  <pageSetup orientation="portrait" horizontalDpi="0" verticalDpi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D3743-47F4-47D4-A29D-AC2A756E5C97}">
  <dimension ref="A1:U12"/>
  <sheetViews>
    <sheetView zoomScaleNormal="100" workbookViewId="0">
      <selection activeCell="E20" sqref="E20"/>
    </sheetView>
  </sheetViews>
  <sheetFormatPr baseColWidth="10" defaultColWidth="6.83203125" defaultRowHeight="16" x14ac:dyDescent="0.2"/>
  <cols>
    <col min="1" max="1" width="9.5" style="1" customWidth="1"/>
    <col min="2" max="2" width="6.83203125" style="94" customWidth="1"/>
    <col min="3" max="3" width="7.6640625" style="1" customWidth="1"/>
    <col min="4" max="4" width="7.5" style="804" customWidth="1"/>
    <col min="5" max="5" width="6.83203125" style="476"/>
    <col min="6" max="14" width="4.83203125" style="1" customWidth="1"/>
    <col min="15" max="15" width="6.83203125" style="1"/>
    <col min="16" max="20" width="4.83203125" style="1" customWidth="1"/>
    <col min="21" max="16384" width="6.83203125" style="1"/>
  </cols>
  <sheetData>
    <row r="1" spans="1:21" x14ac:dyDescent="0.2">
      <c r="A1" s="1395" t="s">
        <v>369</v>
      </c>
      <c r="B1" s="1396"/>
      <c r="C1" s="1396"/>
      <c r="D1" s="1396"/>
      <c r="E1" s="1397"/>
      <c r="F1" s="1314" t="s">
        <v>14</v>
      </c>
      <c r="G1" s="1315"/>
      <c r="H1" s="1315"/>
      <c r="I1" s="1315"/>
      <c r="J1" s="1398"/>
      <c r="K1" s="1398"/>
      <c r="L1" s="1398"/>
      <c r="M1" s="1361"/>
      <c r="N1" s="1395" t="s">
        <v>368</v>
      </c>
      <c r="O1" s="1399"/>
      <c r="P1" s="1314" t="s">
        <v>367</v>
      </c>
      <c r="Q1" s="1315"/>
      <c r="R1" s="1315"/>
      <c r="S1" s="1316"/>
      <c r="T1" s="1400" t="s">
        <v>366</v>
      </c>
      <c r="U1" s="1401"/>
    </row>
    <row r="2" spans="1:21" s="501" customFormat="1" ht="30" customHeight="1" x14ac:dyDescent="0.2">
      <c r="A2" s="817" t="s">
        <v>365</v>
      </c>
      <c r="B2" s="816" t="s">
        <v>364</v>
      </c>
      <c r="C2" s="816" t="s">
        <v>363</v>
      </c>
      <c r="D2" s="819" t="s">
        <v>362</v>
      </c>
      <c r="E2" s="818" t="s">
        <v>361</v>
      </c>
      <c r="F2" s="814">
        <v>0</v>
      </c>
      <c r="G2" s="814">
        <v>1</v>
      </c>
      <c r="H2" s="816">
        <v>2</v>
      </c>
      <c r="I2" s="815">
        <v>3</v>
      </c>
      <c r="J2" s="814">
        <v>12</v>
      </c>
      <c r="K2" s="816">
        <v>13</v>
      </c>
      <c r="L2" s="815">
        <v>23</v>
      </c>
      <c r="M2" s="817">
        <v>123</v>
      </c>
      <c r="N2" s="1393" t="s">
        <v>221</v>
      </c>
      <c r="O2" s="1394"/>
      <c r="P2" s="814">
        <v>0</v>
      </c>
      <c r="Q2" s="814">
        <v>1</v>
      </c>
      <c r="R2" s="816">
        <v>2</v>
      </c>
      <c r="S2" s="815">
        <v>3</v>
      </c>
      <c r="T2" s="1393" t="s">
        <v>221</v>
      </c>
      <c r="U2" s="1394"/>
    </row>
    <row r="3" spans="1:21" x14ac:dyDescent="0.2">
      <c r="A3" s="118">
        <v>1</v>
      </c>
      <c r="B3" s="40">
        <v>1</v>
      </c>
      <c r="C3" s="88">
        <v>25</v>
      </c>
      <c r="D3" s="813">
        <v>800</v>
      </c>
      <c r="E3" s="812">
        <v>7.8</v>
      </c>
      <c r="F3" s="81">
        <v>1</v>
      </c>
      <c r="G3" s="81">
        <f t="shared" ref="G3:I10" si="0">(B3-B$11)/B$12</f>
        <v>-1</v>
      </c>
      <c r="H3" s="88">
        <f t="shared" si="0"/>
        <v>-1</v>
      </c>
      <c r="I3" s="80">
        <f t="shared" si="0"/>
        <v>-1</v>
      </c>
      <c r="J3" s="81">
        <f t="shared" ref="J3:J10" si="1">G3*H3</f>
        <v>1</v>
      </c>
      <c r="K3" s="88">
        <f t="shared" ref="K3:K10" si="2">G3*I3</f>
        <v>1</v>
      </c>
      <c r="L3" s="80">
        <f t="shared" ref="L3:L10" si="3">H3*I3</f>
        <v>1</v>
      </c>
      <c r="M3" s="118">
        <f t="shared" ref="M3:M10" si="4">PRODUCT(G3:I3)</f>
        <v>-1</v>
      </c>
      <c r="N3" s="81">
        <v>0</v>
      </c>
      <c r="O3" s="124" t="e">
        <f t="array" aca="1" ref="O3:O10" ca="1">MMULT([5]!PseudoInv(F3:M10),E3:E10)</f>
        <v>#NAME?</v>
      </c>
      <c r="P3" s="81">
        <f t="shared" ref="P3:S10" si="5">F3</f>
        <v>1</v>
      </c>
      <c r="Q3" s="81">
        <f t="shared" si="5"/>
        <v>-1</v>
      </c>
      <c r="R3" s="88">
        <f t="shared" si="5"/>
        <v>-1</v>
      </c>
      <c r="S3" s="80">
        <f t="shared" si="5"/>
        <v>-1</v>
      </c>
      <c r="T3" s="81">
        <v>0</v>
      </c>
      <c r="U3" s="734" t="e">
        <f t="array" aca="1" ref="U3:U6" ca="1">MMULT([5]!PseudoInv(P3:S10),E3:E10)</f>
        <v>#NAME?</v>
      </c>
    </row>
    <row r="4" spans="1:21" x14ac:dyDescent="0.2">
      <c r="A4" s="450">
        <v>2</v>
      </c>
      <c r="B4" s="94">
        <v>1</v>
      </c>
      <c r="C4" s="1">
        <v>25</v>
      </c>
      <c r="D4" s="810">
        <v>1100</v>
      </c>
      <c r="E4" s="809">
        <v>9.5</v>
      </c>
      <c r="F4" s="455">
        <v>1</v>
      </c>
      <c r="G4" s="455">
        <f t="shared" si="0"/>
        <v>-1</v>
      </c>
      <c r="H4" s="1">
        <f t="shared" si="0"/>
        <v>-1</v>
      </c>
      <c r="I4" s="90">
        <f t="shared" si="0"/>
        <v>1</v>
      </c>
      <c r="J4" s="455">
        <f t="shared" si="1"/>
        <v>1</v>
      </c>
      <c r="K4" s="1">
        <f t="shared" si="2"/>
        <v>-1</v>
      </c>
      <c r="L4" s="90">
        <f t="shared" si="3"/>
        <v>-1</v>
      </c>
      <c r="M4" s="450">
        <f t="shared" si="4"/>
        <v>1</v>
      </c>
      <c r="N4" s="81">
        <v>1</v>
      </c>
      <c r="O4" s="124" t="e">
        <f ca="1"/>
        <v>#NAME?</v>
      </c>
      <c r="P4" s="455">
        <f t="shared" si="5"/>
        <v>1</v>
      </c>
      <c r="Q4" s="455">
        <f t="shared" si="5"/>
        <v>-1</v>
      </c>
      <c r="R4" s="1">
        <f t="shared" si="5"/>
        <v>-1</v>
      </c>
      <c r="S4" s="90">
        <f t="shared" si="5"/>
        <v>1</v>
      </c>
      <c r="T4" s="81">
        <v>1</v>
      </c>
      <c r="U4" s="734" t="e">
        <f ca="1"/>
        <v>#NAME?</v>
      </c>
    </row>
    <row r="5" spans="1:21" x14ac:dyDescent="0.2">
      <c r="A5" s="450">
        <v>3</v>
      </c>
      <c r="B5" s="94">
        <v>1</v>
      </c>
      <c r="C5" s="1">
        <v>325</v>
      </c>
      <c r="D5" s="810">
        <v>800</v>
      </c>
      <c r="E5" s="809">
        <v>13.4</v>
      </c>
      <c r="F5" s="455">
        <v>1</v>
      </c>
      <c r="G5" s="455">
        <f t="shared" si="0"/>
        <v>-1</v>
      </c>
      <c r="H5" s="1">
        <f t="shared" si="0"/>
        <v>1</v>
      </c>
      <c r="I5" s="90">
        <f t="shared" si="0"/>
        <v>-1</v>
      </c>
      <c r="J5" s="455">
        <f t="shared" si="1"/>
        <v>-1</v>
      </c>
      <c r="K5" s="1">
        <f t="shared" si="2"/>
        <v>1</v>
      </c>
      <c r="L5" s="90">
        <f t="shared" si="3"/>
        <v>-1</v>
      </c>
      <c r="M5" s="450">
        <f t="shared" si="4"/>
        <v>1</v>
      </c>
      <c r="N5" s="455">
        <v>2</v>
      </c>
      <c r="O5" s="37" t="e">
        <f ca="1"/>
        <v>#NAME?</v>
      </c>
      <c r="P5" s="455">
        <f t="shared" si="5"/>
        <v>1</v>
      </c>
      <c r="Q5" s="455">
        <f t="shared" si="5"/>
        <v>-1</v>
      </c>
      <c r="R5" s="1">
        <f t="shared" si="5"/>
        <v>1</v>
      </c>
      <c r="S5" s="90">
        <f t="shared" si="5"/>
        <v>-1</v>
      </c>
      <c r="T5" s="455">
        <v>2</v>
      </c>
      <c r="U5" s="726" t="e">
        <f ca="1"/>
        <v>#NAME?</v>
      </c>
    </row>
    <row r="6" spans="1:21" x14ac:dyDescent="0.2">
      <c r="A6" s="450">
        <v>4</v>
      </c>
      <c r="B6" s="94">
        <v>1</v>
      </c>
      <c r="C6" s="1">
        <v>325</v>
      </c>
      <c r="D6" s="810">
        <v>1100</v>
      </c>
      <c r="E6" s="809">
        <v>15</v>
      </c>
      <c r="F6" s="455">
        <v>1</v>
      </c>
      <c r="G6" s="455">
        <f t="shared" si="0"/>
        <v>-1</v>
      </c>
      <c r="H6" s="1">
        <f t="shared" si="0"/>
        <v>1</v>
      </c>
      <c r="I6" s="90">
        <f t="shared" si="0"/>
        <v>1</v>
      </c>
      <c r="J6" s="455">
        <f t="shared" si="1"/>
        <v>-1</v>
      </c>
      <c r="K6" s="1">
        <f t="shared" si="2"/>
        <v>-1</v>
      </c>
      <c r="L6" s="90">
        <f t="shared" si="3"/>
        <v>1</v>
      </c>
      <c r="M6" s="450">
        <f t="shared" si="4"/>
        <v>-1</v>
      </c>
      <c r="N6" s="106">
        <v>3</v>
      </c>
      <c r="O6" s="66" t="e">
        <f ca="1"/>
        <v>#NAME?</v>
      </c>
      <c r="P6" s="455">
        <f t="shared" si="5"/>
        <v>1</v>
      </c>
      <c r="Q6" s="455">
        <f t="shared" si="5"/>
        <v>-1</v>
      </c>
      <c r="R6" s="1">
        <f t="shared" si="5"/>
        <v>1</v>
      </c>
      <c r="S6" s="90">
        <f t="shared" si="5"/>
        <v>1</v>
      </c>
      <c r="T6" s="106">
        <v>3</v>
      </c>
      <c r="U6" s="811" t="e">
        <f ca="1"/>
        <v>#NAME?</v>
      </c>
    </row>
    <row r="7" spans="1:21" x14ac:dyDescent="0.2">
      <c r="A7" s="450">
        <v>5</v>
      </c>
      <c r="B7" s="94">
        <v>5</v>
      </c>
      <c r="C7" s="1">
        <v>25</v>
      </c>
      <c r="D7" s="810">
        <v>800</v>
      </c>
      <c r="E7" s="809">
        <v>12.8</v>
      </c>
      <c r="F7" s="455">
        <v>1</v>
      </c>
      <c r="G7" s="455">
        <f t="shared" si="0"/>
        <v>1</v>
      </c>
      <c r="H7" s="1">
        <f t="shared" si="0"/>
        <v>-1</v>
      </c>
      <c r="I7" s="90">
        <f t="shared" si="0"/>
        <v>-1</v>
      </c>
      <c r="J7" s="455">
        <f t="shared" si="1"/>
        <v>-1</v>
      </c>
      <c r="K7" s="1">
        <f t="shared" si="2"/>
        <v>-1</v>
      </c>
      <c r="L7" s="90">
        <f t="shared" si="3"/>
        <v>1</v>
      </c>
      <c r="M7" s="450">
        <f t="shared" si="4"/>
        <v>1</v>
      </c>
      <c r="N7" s="455">
        <v>12</v>
      </c>
      <c r="O7" s="37" t="e">
        <f ca="1"/>
        <v>#NAME?</v>
      </c>
      <c r="P7" s="455">
        <f t="shared" si="5"/>
        <v>1</v>
      </c>
      <c r="Q7" s="455">
        <f t="shared" si="5"/>
        <v>1</v>
      </c>
      <c r="R7" s="1">
        <f t="shared" si="5"/>
        <v>-1</v>
      </c>
      <c r="S7" s="90">
        <f t="shared" si="5"/>
        <v>-1</v>
      </c>
    </row>
    <row r="8" spans="1:21" x14ac:dyDescent="0.2">
      <c r="A8" s="450">
        <v>6</v>
      </c>
      <c r="B8" s="94">
        <v>5</v>
      </c>
      <c r="C8" s="1">
        <v>25</v>
      </c>
      <c r="D8" s="810">
        <v>1100</v>
      </c>
      <c r="E8" s="809">
        <v>16</v>
      </c>
      <c r="F8" s="455">
        <v>1</v>
      </c>
      <c r="G8" s="455">
        <f t="shared" si="0"/>
        <v>1</v>
      </c>
      <c r="H8" s="1">
        <f t="shared" si="0"/>
        <v>-1</v>
      </c>
      <c r="I8" s="90">
        <f t="shared" si="0"/>
        <v>1</v>
      </c>
      <c r="J8" s="455">
        <f t="shared" si="1"/>
        <v>-1</v>
      </c>
      <c r="K8" s="1">
        <f t="shared" si="2"/>
        <v>1</v>
      </c>
      <c r="L8" s="90">
        <f t="shared" si="3"/>
        <v>-1</v>
      </c>
      <c r="M8" s="450">
        <f t="shared" si="4"/>
        <v>-1</v>
      </c>
      <c r="N8" s="455">
        <v>13</v>
      </c>
      <c r="O8" s="37" t="e">
        <f ca="1"/>
        <v>#NAME?</v>
      </c>
      <c r="P8" s="455">
        <f t="shared" si="5"/>
        <v>1</v>
      </c>
      <c r="Q8" s="455">
        <f t="shared" si="5"/>
        <v>1</v>
      </c>
      <c r="R8" s="1">
        <f t="shared" si="5"/>
        <v>-1</v>
      </c>
      <c r="S8" s="90">
        <f t="shared" si="5"/>
        <v>1</v>
      </c>
    </row>
    <row r="9" spans="1:21" x14ac:dyDescent="0.2">
      <c r="A9" s="450">
        <v>7</v>
      </c>
      <c r="B9" s="94">
        <v>5</v>
      </c>
      <c r="C9" s="1">
        <v>325</v>
      </c>
      <c r="D9" s="810">
        <v>800</v>
      </c>
      <c r="E9" s="809">
        <v>20</v>
      </c>
      <c r="F9" s="455">
        <v>1</v>
      </c>
      <c r="G9" s="455">
        <f t="shared" si="0"/>
        <v>1</v>
      </c>
      <c r="H9" s="1">
        <f t="shared" si="0"/>
        <v>1</v>
      </c>
      <c r="I9" s="90">
        <f t="shared" si="0"/>
        <v>-1</v>
      </c>
      <c r="J9" s="455">
        <f t="shared" si="1"/>
        <v>1</v>
      </c>
      <c r="K9" s="1">
        <f t="shared" si="2"/>
        <v>-1</v>
      </c>
      <c r="L9" s="90">
        <f t="shared" si="3"/>
        <v>-1</v>
      </c>
      <c r="M9" s="450">
        <f t="shared" si="4"/>
        <v>-1</v>
      </c>
      <c r="N9" s="455">
        <v>23</v>
      </c>
      <c r="O9" s="37" t="e">
        <f ca="1"/>
        <v>#NAME?</v>
      </c>
      <c r="P9" s="455">
        <f t="shared" si="5"/>
        <v>1</v>
      </c>
      <c r="Q9" s="455">
        <f t="shared" si="5"/>
        <v>1</v>
      </c>
      <c r="R9" s="1">
        <f t="shared" si="5"/>
        <v>1</v>
      </c>
      <c r="S9" s="90">
        <f t="shared" si="5"/>
        <v>-1</v>
      </c>
    </row>
    <row r="10" spans="1:21" x14ac:dyDescent="0.2">
      <c r="A10" s="92">
        <v>8</v>
      </c>
      <c r="B10" s="94">
        <v>5</v>
      </c>
      <c r="C10" s="1">
        <v>325</v>
      </c>
      <c r="D10" s="810">
        <v>1100</v>
      </c>
      <c r="E10" s="809">
        <v>23.9</v>
      </c>
      <c r="F10" s="106">
        <v>1</v>
      </c>
      <c r="G10" s="106">
        <f t="shared" si="0"/>
        <v>1</v>
      </c>
      <c r="H10" s="76">
        <f t="shared" si="0"/>
        <v>1</v>
      </c>
      <c r="I10" s="77">
        <f t="shared" si="0"/>
        <v>1</v>
      </c>
      <c r="J10" s="106">
        <f t="shared" si="1"/>
        <v>1</v>
      </c>
      <c r="K10" s="76">
        <f t="shared" si="2"/>
        <v>1</v>
      </c>
      <c r="L10" s="77">
        <f t="shared" si="3"/>
        <v>1</v>
      </c>
      <c r="M10" s="92">
        <f t="shared" si="4"/>
        <v>1</v>
      </c>
      <c r="N10" s="456">
        <v>123</v>
      </c>
      <c r="O10" s="136" t="e">
        <f ca="1"/>
        <v>#NAME?</v>
      </c>
      <c r="P10" s="106">
        <f t="shared" si="5"/>
        <v>1</v>
      </c>
      <c r="Q10" s="106">
        <f t="shared" si="5"/>
        <v>1</v>
      </c>
      <c r="R10" s="76">
        <f t="shared" si="5"/>
        <v>1</v>
      </c>
      <c r="S10" s="77">
        <f t="shared" si="5"/>
        <v>1</v>
      </c>
    </row>
    <row r="11" spans="1:21" x14ac:dyDescent="0.2">
      <c r="A11" s="118" t="s">
        <v>93</v>
      </c>
      <c r="B11" s="87">
        <f>AVERAGE(B3:B10)</f>
        <v>3</v>
      </c>
      <c r="C11" s="88">
        <f>AVERAGE(C3:C10)</f>
        <v>175</v>
      </c>
      <c r="D11" s="80">
        <f>AVERAGE(D3:D10)</f>
        <v>950</v>
      </c>
      <c r="E11" s="118">
        <f>AVERAGE(E3:E10)</f>
        <v>14.8</v>
      </c>
    </row>
    <row r="12" spans="1:21" x14ac:dyDescent="0.2">
      <c r="A12" s="92" t="s">
        <v>360</v>
      </c>
      <c r="B12" s="75">
        <f>(MAX(B3:B10)-MIN(B3:B10))/2</f>
        <v>2</v>
      </c>
      <c r="C12" s="76">
        <f>(MAX(C3:C10)-MIN(C3:C10))/2</f>
        <v>150</v>
      </c>
      <c r="D12" s="77">
        <f>(MAX(D3:D10)-MIN(D3:D10))/2</f>
        <v>150</v>
      </c>
      <c r="E12" s="92">
        <f>(MAX(E3:E10)-MIN(E3:E10))/2</f>
        <v>8.0499999999999989</v>
      </c>
    </row>
  </sheetData>
  <mergeCells count="7">
    <mergeCell ref="N2:O2"/>
    <mergeCell ref="T2:U2"/>
    <mergeCell ref="A1:E1"/>
    <mergeCell ref="F1:M1"/>
    <mergeCell ref="N1:O1"/>
    <mergeCell ref="P1:S1"/>
    <mergeCell ref="T1:U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76D2A-F618-4A86-BAEF-225325A22BE6}">
  <dimension ref="A1:U13"/>
  <sheetViews>
    <sheetView zoomScaleNormal="100" workbookViewId="0">
      <selection activeCell="A12" sqref="A12"/>
    </sheetView>
  </sheetViews>
  <sheetFormatPr baseColWidth="10" defaultColWidth="6.83203125" defaultRowHeight="16" x14ac:dyDescent="0.2"/>
  <cols>
    <col min="1" max="1" width="6.83203125" style="1"/>
    <col min="2" max="2" width="6.83203125" style="94" customWidth="1"/>
    <col min="3" max="3" width="8.5" style="1" customWidth="1"/>
    <col min="4" max="4" width="15.33203125" style="1" customWidth="1"/>
    <col min="5" max="5" width="9.83203125" style="804" customWidth="1"/>
    <col min="6" max="6" width="8.5" style="476" customWidth="1"/>
    <col min="7" max="14" width="4.83203125" style="1" customWidth="1"/>
    <col min="15" max="15" width="6.83203125" style="1"/>
    <col min="16" max="20" width="4.83203125" style="1" customWidth="1"/>
    <col min="21" max="16384" width="6.83203125" style="1"/>
  </cols>
  <sheetData>
    <row r="1" spans="1:21" x14ac:dyDescent="0.2">
      <c r="A1" s="1375" t="s">
        <v>359</v>
      </c>
      <c r="B1" s="1376"/>
      <c r="C1" s="1376"/>
      <c r="D1" s="1377"/>
      <c r="E1" s="808"/>
      <c r="F1" s="472" t="s">
        <v>358</v>
      </c>
      <c r="G1" s="666" t="s">
        <v>357</v>
      </c>
      <c r="N1"/>
      <c r="O1"/>
      <c r="P1"/>
      <c r="Q1"/>
      <c r="R1"/>
      <c r="S1"/>
      <c r="T1"/>
      <c r="U1"/>
    </row>
    <row r="2" spans="1:21" s="501" customFormat="1" ht="15" customHeight="1" x14ac:dyDescent="0.2">
      <c r="A2" s="127" t="s">
        <v>356</v>
      </c>
      <c r="B2" s="724" t="s">
        <v>86</v>
      </c>
      <c r="C2" s="724" t="s">
        <v>355</v>
      </c>
      <c r="D2" s="665" t="s">
        <v>259</v>
      </c>
      <c r="E2" s="807" t="s">
        <v>354</v>
      </c>
      <c r="F2" s="724" t="s">
        <v>353</v>
      </c>
      <c r="G2" s="806" t="s">
        <v>352</v>
      </c>
      <c r="K2" s="1"/>
      <c r="L2" s="1"/>
      <c r="M2" s="1"/>
      <c r="N2"/>
      <c r="O2"/>
      <c r="P2"/>
      <c r="Q2"/>
      <c r="R2"/>
      <c r="S2"/>
      <c r="T2"/>
      <c r="U2"/>
    </row>
    <row r="3" spans="1:21" ht="18" x14ac:dyDescent="0.25">
      <c r="A3" s="87">
        <v>1</v>
      </c>
      <c r="B3" s="40" t="s">
        <v>351</v>
      </c>
      <c r="C3" s="522">
        <v>7.4999999999999997E-2</v>
      </c>
      <c r="D3" s="41" t="s">
        <v>350</v>
      </c>
      <c r="E3" s="522">
        <f t="shared" ref="E3:E9" si="0">(A3-0.5)/7</f>
        <v>7.1428571428571425E-2</v>
      </c>
      <c r="F3" s="522">
        <f t="shared" ref="F3:F9" si="1">NORMSINV(E3)</f>
        <v>-1.4652337926855223</v>
      </c>
      <c r="G3" s="80">
        <f t="shared" ref="G3:G9" si="2">F3*C$10</f>
        <v>-2.1121316745237935</v>
      </c>
      <c r="N3"/>
      <c r="O3"/>
      <c r="P3"/>
      <c r="Q3"/>
      <c r="R3"/>
      <c r="S3"/>
      <c r="T3"/>
      <c r="U3"/>
    </row>
    <row r="4" spans="1:21" ht="18" x14ac:dyDescent="0.25">
      <c r="A4" s="89">
        <v>2</v>
      </c>
      <c r="B4" s="94" t="s">
        <v>349</v>
      </c>
      <c r="C4" s="36">
        <v>0.10000000000000009</v>
      </c>
      <c r="D4" s="475" t="s">
        <v>348</v>
      </c>
      <c r="E4" s="36">
        <f t="shared" si="0"/>
        <v>0.21428571428571427</v>
      </c>
      <c r="F4" s="36">
        <f t="shared" si="1"/>
        <v>-0.79163860774337469</v>
      </c>
      <c r="G4" s="90">
        <f t="shared" si="2"/>
        <v>-1.1411455199419929</v>
      </c>
      <c r="N4"/>
      <c r="O4"/>
      <c r="P4"/>
      <c r="Q4"/>
      <c r="R4"/>
      <c r="S4"/>
      <c r="T4"/>
      <c r="U4"/>
    </row>
    <row r="5" spans="1:21" ht="18" x14ac:dyDescent="0.25">
      <c r="A5" s="89">
        <v>3</v>
      </c>
      <c r="B5" s="94" t="s">
        <v>347</v>
      </c>
      <c r="C5" s="36">
        <v>0.47499999999999964</v>
      </c>
      <c r="D5" s="475" t="s">
        <v>346</v>
      </c>
      <c r="E5" s="36">
        <f t="shared" si="0"/>
        <v>0.35714285714285715</v>
      </c>
      <c r="F5" s="36">
        <f t="shared" si="1"/>
        <v>-0.36610635680056969</v>
      </c>
      <c r="G5" s="90">
        <f t="shared" si="2"/>
        <v>-0.52774160431130301</v>
      </c>
      <c r="N5"/>
      <c r="O5"/>
      <c r="P5"/>
      <c r="Q5"/>
      <c r="R5"/>
      <c r="S5"/>
      <c r="T5"/>
      <c r="U5"/>
    </row>
    <row r="6" spans="1:21" ht="18" x14ac:dyDescent="0.25">
      <c r="A6" s="89">
        <v>4</v>
      </c>
      <c r="B6" s="94" t="s">
        <v>345</v>
      </c>
      <c r="C6" s="36">
        <v>0.5</v>
      </c>
      <c r="D6" s="475" t="s">
        <v>344</v>
      </c>
      <c r="E6" s="36">
        <f t="shared" si="0"/>
        <v>0.5</v>
      </c>
      <c r="F6" s="36">
        <f t="shared" si="1"/>
        <v>0</v>
      </c>
      <c r="G6" s="90">
        <f t="shared" si="2"/>
        <v>0</v>
      </c>
      <c r="N6"/>
      <c r="O6"/>
      <c r="P6"/>
      <c r="Q6"/>
      <c r="R6"/>
      <c r="S6"/>
      <c r="T6"/>
      <c r="U6"/>
    </row>
    <row r="7" spans="1:21" ht="18" x14ac:dyDescent="0.25">
      <c r="A7" s="89">
        <v>5</v>
      </c>
      <c r="B7" s="94" t="s">
        <v>343</v>
      </c>
      <c r="C7" s="36">
        <v>1.2999999999999998</v>
      </c>
      <c r="D7" s="475" t="s">
        <v>342</v>
      </c>
      <c r="E7" s="36">
        <f t="shared" si="0"/>
        <v>0.6428571428571429</v>
      </c>
      <c r="F7" s="36">
        <f t="shared" si="1"/>
        <v>0.3661063568005698</v>
      </c>
      <c r="G7" s="90">
        <f t="shared" si="2"/>
        <v>0.52774160431130313</v>
      </c>
      <c r="N7"/>
      <c r="O7"/>
      <c r="P7"/>
      <c r="Q7"/>
      <c r="R7"/>
      <c r="S7"/>
      <c r="T7"/>
      <c r="U7"/>
    </row>
    <row r="8" spans="1:21" ht="18" x14ac:dyDescent="0.25">
      <c r="A8" s="89">
        <v>6</v>
      </c>
      <c r="B8" s="94" t="s">
        <v>341</v>
      </c>
      <c r="C8" s="36">
        <v>3.2749999999999995</v>
      </c>
      <c r="D8" s="475" t="s">
        <v>340</v>
      </c>
      <c r="E8" s="36">
        <f t="shared" si="0"/>
        <v>0.7857142857142857</v>
      </c>
      <c r="F8" s="36">
        <f t="shared" si="1"/>
        <v>0.79163860774337469</v>
      </c>
      <c r="G8" s="90">
        <f t="shared" si="2"/>
        <v>1.1411455199419929</v>
      </c>
      <c r="N8"/>
      <c r="O8"/>
      <c r="P8"/>
      <c r="Q8"/>
      <c r="R8"/>
      <c r="S8"/>
      <c r="T8"/>
      <c r="U8"/>
    </row>
    <row r="9" spans="1:21" ht="18" x14ac:dyDescent="0.25">
      <c r="A9" s="75">
        <v>7</v>
      </c>
      <c r="B9" s="96" t="s">
        <v>339</v>
      </c>
      <c r="C9" s="65">
        <v>3.3749999999999996</v>
      </c>
      <c r="D9" s="97" t="s">
        <v>66</v>
      </c>
      <c r="E9" s="65">
        <f t="shared" si="0"/>
        <v>0.9285714285714286</v>
      </c>
      <c r="F9" s="65">
        <f t="shared" si="1"/>
        <v>1.4652337926855228</v>
      </c>
      <c r="G9" s="77">
        <f t="shared" si="2"/>
        <v>2.1121316745237939</v>
      </c>
      <c r="N9"/>
      <c r="O9"/>
      <c r="P9"/>
      <c r="Q9"/>
      <c r="R9"/>
      <c r="S9"/>
      <c r="T9"/>
      <c r="U9"/>
    </row>
    <row r="10" spans="1:21" x14ac:dyDescent="0.2">
      <c r="B10" s="805" t="s">
        <v>338</v>
      </c>
      <c r="C10" s="508">
        <f>STDEV(C3:C9)</f>
        <v>1.441498063358625</v>
      </c>
      <c r="D10"/>
      <c r="J10"/>
      <c r="L10"/>
      <c r="M10"/>
      <c r="N10"/>
      <c r="O10"/>
      <c r="P10"/>
      <c r="Q10"/>
      <c r="R10"/>
      <c r="S10"/>
      <c r="T10"/>
      <c r="U10"/>
    </row>
    <row r="11" spans="1:21" x14ac:dyDescent="0.2">
      <c r="B11" s="1"/>
      <c r="D11"/>
      <c r="E11"/>
      <c r="F11"/>
      <c r="G11"/>
      <c r="H11"/>
      <c r="I11"/>
      <c r="J11"/>
      <c r="L11"/>
      <c r="M11"/>
      <c r="N11"/>
      <c r="O11"/>
      <c r="P11"/>
      <c r="Q11"/>
      <c r="R11"/>
      <c r="S11"/>
      <c r="T11"/>
      <c r="U11"/>
    </row>
    <row r="12" spans="1:21" x14ac:dyDescent="0.2">
      <c r="B12" s="788"/>
      <c r="D12"/>
      <c r="E12"/>
      <c r="F12"/>
      <c r="G12"/>
      <c r="H12"/>
      <c r="I12"/>
      <c r="J12"/>
      <c r="L12"/>
      <c r="M12"/>
      <c r="N12"/>
      <c r="O12"/>
      <c r="P12"/>
      <c r="Q12"/>
      <c r="R12"/>
      <c r="S12"/>
      <c r="T12"/>
      <c r="U12"/>
    </row>
    <row r="13" spans="1:21" x14ac:dyDescent="0.2">
      <c r="B13" s="1"/>
      <c r="E13"/>
      <c r="F13"/>
      <c r="G13"/>
      <c r="H13"/>
      <c r="I13"/>
      <c r="J13"/>
      <c r="L13"/>
      <c r="M13"/>
      <c r="N13"/>
      <c r="O13"/>
      <c r="P13"/>
      <c r="Q13"/>
      <c r="R13"/>
      <c r="S13"/>
      <c r="T13"/>
      <c r="U13"/>
    </row>
  </sheetData>
  <mergeCells count="1">
    <mergeCell ref="A1:D1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F2A0D-5561-4DFA-8A56-F6DB152EE763}">
  <dimension ref="A1:AG19"/>
  <sheetViews>
    <sheetView zoomScaleNormal="100" workbookViewId="0">
      <selection activeCell="A11" sqref="A11"/>
    </sheetView>
  </sheetViews>
  <sheetFormatPr baseColWidth="10" defaultColWidth="4.83203125" defaultRowHeight="16" x14ac:dyDescent="0.2"/>
  <cols>
    <col min="2" max="27" width="3.83203125" customWidth="1"/>
    <col min="33" max="33" width="5.83203125" customWidth="1"/>
  </cols>
  <sheetData>
    <row r="1" spans="1:33" x14ac:dyDescent="0.2">
      <c r="B1" s="1345" t="s">
        <v>14</v>
      </c>
      <c r="C1" s="1346"/>
      <c r="D1" s="1346"/>
      <c r="E1" s="1346"/>
      <c r="F1" s="1346"/>
      <c r="G1" s="1360"/>
      <c r="H1" s="1345" t="s">
        <v>337</v>
      </c>
      <c r="I1" s="1346"/>
      <c r="J1" s="1346"/>
      <c r="K1" s="1346"/>
      <c r="L1" s="1346"/>
      <c r="M1" s="1346"/>
      <c r="N1" s="1346"/>
      <c r="O1" s="1346"/>
      <c r="P1" s="1346"/>
      <c r="Q1" s="1346"/>
      <c r="R1" s="1346"/>
      <c r="S1" s="1346"/>
      <c r="T1" s="1346"/>
      <c r="U1" s="1346"/>
      <c r="V1" s="1346"/>
      <c r="W1" s="1346"/>
      <c r="X1" s="1346"/>
      <c r="Y1" s="1346"/>
      <c r="Z1" s="1346"/>
      <c r="AA1" s="1346"/>
      <c r="AB1" s="1346"/>
      <c r="AC1" s="1346"/>
      <c r="AD1" s="1346"/>
      <c r="AE1" s="1346"/>
      <c r="AF1" s="1346"/>
      <c r="AG1" s="1360"/>
    </row>
    <row r="2" spans="1:33" x14ac:dyDescent="0.2">
      <c r="A2" s="800" t="s">
        <v>10</v>
      </c>
      <c r="B2" s="803">
        <v>0</v>
      </c>
      <c r="C2" s="465">
        <v>1</v>
      </c>
      <c r="D2" s="465">
        <v>2</v>
      </c>
      <c r="E2" s="465">
        <v>3</v>
      </c>
      <c r="F2" s="465">
        <v>4</v>
      </c>
      <c r="G2" s="465">
        <v>5</v>
      </c>
      <c r="H2" s="801">
        <v>12</v>
      </c>
      <c r="I2" s="465">
        <v>13</v>
      </c>
      <c r="J2" s="465">
        <v>14</v>
      </c>
      <c r="K2" s="503">
        <v>15</v>
      </c>
      <c r="L2" s="801">
        <v>23</v>
      </c>
      <c r="M2" s="465">
        <v>24</v>
      </c>
      <c r="N2" s="503">
        <v>25</v>
      </c>
      <c r="O2" s="801">
        <v>34</v>
      </c>
      <c r="P2" s="503">
        <v>35</v>
      </c>
      <c r="Q2" s="801">
        <v>45</v>
      </c>
      <c r="R2" s="801">
        <v>123</v>
      </c>
      <c r="S2" s="465">
        <v>124</v>
      </c>
      <c r="T2" s="503">
        <v>125</v>
      </c>
      <c r="U2" s="801">
        <v>134</v>
      </c>
      <c r="V2" s="503">
        <v>135</v>
      </c>
      <c r="W2" s="802">
        <v>145</v>
      </c>
      <c r="X2" s="801">
        <v>234</v>
      </c>
      <c r="Y2" s="465">
        <v>235</v>
      </c>
      <c r="Z2" s="503">
        <v>245</v>
      </c>
      <c r="AA2" s="802">
        <v>345</v>
      </c>
      <c r="AB2" s="801">
        <v>1234</v>
      </c>
      <c r="AC2" s="465">
        <v>1235</v>
      </c>
      <c r="AD2" s="465">
        <v>1245</v>
      </c>
      <c r="AE2" s="465">
        <v>1345</v>
      </c>
      <c r="AF2" s="503">
        <v>2345</v>
      </c>
      <c r="AG2" s="9">
        <v>12345</v>
      </c>
    </row>
    <row r="3" spans="1:33" x14ac:dyDescent="0.2">
      <c r="A3" s="800">
        <v>1</v>
      </c>
      <c r="B3" s="790">
        <v>1</v>
      </c>
      <c r="C3" s="788">
        <v>-1</v>
      </c>
      <c r="D3" s="788">
        <v>-1</v>
      </c>
      <c r="E3" s="788">
        <v>-1</v>
      </c>
      <c r="F3" s="788">
        <f t="shared" ref="F3:F10" si="0">PRODUCT(C3:E3)</f>
        <v>-1</v>
      </c>
      <c r="G3" s="788">
        <f t="shared" ref="G3:G10" si="1">C3*D3</f>
        <v>1</v>
      </c>
      <c r="H3" s="798">
        <f t="shared" ref="H3:K10" si="2">$C3*D3</f>
        <v>1</v>
      </c>
      <c r="I3" s="797">
        <f t="shared" si="2"/>
        <v>1</v>
      </c>
      <c r="J3" s="797">
        <f t="shared" si="2"/>
        <v>1</v>
      </c>
      <c r="K3" s="796">
        <f t="shared" si="2"/>
        <v>-1</v>
      </c>
      <c r="L3" s="798">
        <f t="shared" ref="L3:N10" si="3">$D3*E3</f>
        <v>1</v>
      </c>
      <c r="M3" s="797">
        <f t="shared" si="3"/>
        <v>1</v>
      </c>
      <c r="N3" s="796">
        <f t="shared" si="3"/>
        <v>-1</v>
      </c>
      <c r="O3" s="798">
        <f t="shared" ref="O3:P10" si="4">$E3*F3</f>
        <v>1</v>
      </c>
      <c r="P3" s="796">
        <f t="shared" si="4"/>
        <v>-1</v>
      </c>
      <c r="Q3" s="798">
        <f t="shared" ref="Q3:Q10" si="5">F3*G3</f>
        <v>-1</v>
      </c>
      <c r="R3" s="798">
        <f t="shared" ref="R3:T10" si="6">$H3*E3</f>
        <v>-1</v>
      </c>
      <c r="S3" s="797">
        <f t="shared" si="6"/>
        <v>-1</v>
      </c>
      <c r="T3" s="796">
        <f t="shared" si="6"/>
        <v>1</v>
      </c>
      <c r="U3" s="798">
        <f t="shared" ref="U3:U10" si="7">I3*F3</f>
        <v>-1</v>
      </c>
      <c r="V3" s="796">
        <f t="shared" ref="V3:V10" si="8">I3*G3</f>
        <v>1</v>
      </c>
      <c r="W3" s="799">
        <f t="shared" ref="W3:W10" si="9">J3*G3</f>
        <v>1</v>
      </c>
      <c r="X3" s="798">
        <f t="shared" ref="X3:X10" si="10">L3*F3</f>
        <v>-1</v>
      </c>
      <c r="Y3" s="797">
        <f t="shared" ref="Y3:Y10" si="11">L3*G3</f>
        <v>1</v>
      </c>
      <c r="Z3" s="796">
        <f t="shared" ref="Z3:Z10" si="12">M3*G3</f>
        <v>1</v>
      </c>
      <c r="AA3" s="799">
        <f t="shared" ref="AA3:AA10" si="13">O3*G3</f>
        <v>1</v>
      </c>
      <c r="AB3" s="798">
        <f t="shared" ref="AB3:AB10" si="14">R3*F3</f>
        <v>1</v>
      </c>
      <c r="AC3" s="797">
        <f t="shared" ref="AC3:AC10" si="15">R3*G3</f>
        <v>-1</v>
      </c>
      <c r="AD3" s="797">
        <f t="shared" ref="AD3:AD10" si="16">S3*G3</f>
        <v>-1</v>
      </c>
      <c r="AE3" s="797">
        <f t="shared" ref="AE3:AE10" si="17">U3*G3</f>
        <v>-1</v>
      </c>
      <c r="AF3" s="796">
        <f t="shared" ref="AF3:AF10" si="18">X3*G3</f>
        <v>-1</v>
      </c>
      <c r="AG3" s="796">
        <f t="shared" ref="AG3:AG10" si="19">PRODUCT(B3:G3)</f>
        <v>1</v>
      </c>
    </row>
    <row r="4" spans="1:33" x14ac:dyDescent="0.2">
      <c r="A4" s="791">
        <v>2</v>
      </c>
      <c r="B4" s="790">
        <v>1</v>
      </c>
      <c r="C4" s="788">
        <v>-1</v>
      </c>
      <c r="D4" s="788">
        <v>-1</v>
      </c>
      <c r="E4" s="788">
        <v>1</v>
      </c>
      <c r="F4" s="788">
        <f t="shared" si="0"/>
        <v>1</v>
      </c>
      <c r="G4" s="788">
        <f t="shared" si="1"/>
        <v>1</v>
      </c>
      <c r="H4" s="789">
        <f t="shared" si="2"/>
        <v>1</v>
      </c>
      <c r="I4" s="788">
        <f t="shared" si="2"/>
        <v>-1</v>
      </c>
      <c r="J4" s="788">
        <f t="shared" si="2"/>
        <v>-1</v>
      </c>
      <c r="K4" s="787">
        <f t="shared" si="2"/>
        <v>-1</v>
      </c>
      <c r="L4" s="789">
        <f t="shared" si="3"/>
        <v>-1</v>
      </c>
      <c r="M4" s="788">
        <f t="shared" si="3"/>
        <v>-1</v>
      </c>
      <c r="N4" s="787">
        <f t="shared" si="3"/>
        <v>-1</v>
      </c>
      <c r="O4" s="789">
        <f t="shared" si="4"/>
        <v>1</v>
      </c>
      <c r="P4" s="787">
        <f t="shared" si="4"/>
        <v>1</v>
      </c>
      <c r="Q4" s="789">
        <f t="shared" si="5"/>
        <v>1</v>
      </c>
      <c r="R4" s="789">
        <f t="shared" si="6"/>
        <v>1</v>
      </c>
      <c r="S4" s="788">
        <f t="shared" si="6"/>
        <v>1</v>
      </c>
      <c r="T4" s="787">
        <f t="shared" si="6"/>
        <v>1</v>
      </c>
      <c r="U4" s="789">
        <f t="shared" si="7"/>
        <v>-1</v>
      </c>
      <c r="V4" s="787">
        <f t="shared" si="8"/>
        <v>-1</v>
      </c>
      <c r="W4" s="790">
        <f t="shared" si="9"/>
        <v>-1</v>
      </c>
      <c r="X4" s="789">
        <f t="shared" si="10"/>
        <v>-1</v>
      </c>
      <c r="Y4" s="788">
        <f t="shared" si="11"/>
        <v>-1</v>
      </c>
      <c r="Z4" s="787">
        <f t="shared" si="12"/>
        <v>-1</v>
      </c>
      <c r="AA4" s="790">
        <f t="shared" si="13"/>
        <v>1</v>
      </c>
      <c r="AB4" s="789">
        <f t="shared" si="14"/>
        <v>1</v>
      </c>
      <c r="AC4" s="788">
        <f t="shared" si="15"/>
        <v>1</v>
      </c>
      <c r="AD4" s="788">
        <f t="shared" si="16"/>
        <v>1</v>
      </c>
      <c r="AE4" s="788">
        <f t="shared" si="17"/>
        <v>-1</v>
      </c>
      <c r="AF4" s="787">
        <f t="shared" si="18"/>
        <v>-1</v>
      </c>
      <c r="AG4" s="787">
        <f t="shared" si="19"/>
        <v>1</v>
      </c>
    </row>
    <row r="5" spans="1:33" x14ac:dyDescent="0.2">
      <c r="A5" s="791">
        <v>3</v>
      </c>
      <c r="B5" s="790">
        <v>1</v>
      </c>
      <c r="C5" s="788">
        <v>-1</v>
      </c>
      <c r="D5" s="788">
        <v>1</v>
      </c>
      <c r="E5" s="788">
        <v>-1</v>
      </c>
      <c r="F5" s="788">
        <f t="shared" si="0"/>
        <v>1</v>
      </c>
      <c r="G5" s="788">
        <f t="shared" si="1"/>
        <v>-1</v>
      </c>
      <c r="H5" s="789">
        <f t="shared" si="2"/>
        <v>-1</v>
      </c>
      <c r="I5" s="788">
        <f t="shared" si="2"/>
        <v>1</v>
      </c>
      <c r="J5" s="788">
        <f t="shared" si="2"/>
        <v>-1</v>
      </c>
      <c r="K5" s="787">
        <f t="shared" si="2"/>
        <v>1</v>
      </c>
      <c r="L5" s="789">
        <f t="shared" si="3"/>
        <v>-1</v>
      </c>
      <c r="M5" s="788">
        <f t="shared" si="3"/>
        <v>1</v>
      </c>
      <c r="N5" s="787">
        <f t="shared" si="3"/>
        <v>-1</v>
      </c>
      <c r="O5" s="789">
        <f t="shared" si="4"/>
        <v>-1</v>
      </c>
      <c r="P5" s="787">
        <f t="shared" si="4"/>
        <v>1</v>
      </c>
      <c r="Q5" s="789">
        <f t="shared" si="5"/>
        <v>-1</v>
      </c>
      <c r="R5" s="789">
        <f t="shared" si="6"/>
        <v>1</v>
      </c>
      <c r="S5" s="788">
        <f t="shared" si="6"/>
        <v>-1</v>
      </c>
      <c r="T5" s="787">
        <f t="shared" si="6"/>
        <v>1</v>
      </c>
      <c r="U5" s="789">
        <f t="shared" si="7"/>
        <v>1</v>
      </c>
      <c r="V5" s="787">
        <f t="shared" si="8"/>
        <v>-1</v>
      </c>
      <c r="W5" s="790">
        <f t="shared" si="9"/>
        <v>1</v>
      </c>
      <c r="X5" s="789">
        <f t="shared" si="10"/>
        <v>-1</v>
      </c>
      <c r="Y5" s="788">
        <f t="shared" si="11"/>
        <v>1</v>
      </c>
      <c r="Z5" s="787">
        <f t="shared" si="12"/>
        <v>-1</v>
      </c>
      <c r="AA5" s="790">
        <f t="shared" si="13"/>
        <v>1</v>
      </c>
      <c r="AB5" s="789">
        <f t="shared" si="14"/>
        <v>1</v>
      </c>
      <c r="AC5" s="788">
        <f t="shared" si="15"/>
        <v>-1</v>
      </c>
      <c r="AD5" s="788">
        <f t="shared" si="16"/>
        <v>1</v>
      </c>
      <c r="AE5" s="788">
        <f t="shared" si="17"/>
        <v>-1</v>
      </c>
      <c r="AF5" s="787">
        <f t="shared" si="18"/>
        <v>1</v>
      </c>
      <c r="AG5" s="787">
        <f t="shared" si="19"/>
        <v>-1</v>
      </c>
    </row>
    <row r="6" spans="1:33" x14ac:dyDescent="0.2">
      <c r="A6" s="791">
        <v>4</v>
      </c>
      <c r="B6" s="790">
        <v>1</v>
      </c>
      <c r="C6" s="788">
        <v>-1</v>
      </c>
      <c r="D6" s="788">
        <v>1</v>
      </c>
      <c r="E6" s="788">
        <v>1</v>
      </c>
      <c r="F6" s="788">
        <f t="shared" si="0"/>
        <v>-1</v>
      </c>
      <c r="G6" s="788">
        <f t="shared" si="1"/>
        <v>-1</v>
      </c>
      <c r="H6" s="789">
        <f t="shared" si="2"/>
        <v>-1</v>
      </c>
      <c r="I6" s="788">
        <f t="shared" si="2"/>
        <v>-1</v>
      </c>
      <c r="J6" s="788">
        <f t="shared" si="2"/>
        <v>1</v>
      </c>
      <c r="K6" s="787">
        <f t="shared" si="2"/>
        <v>1</v>
      </c>
      <c r="L6" s="789">
        <f t="shared" si="3"/>
        <v>1</v>
      </c>
      <c r="M6" s="788">
        <f t="shared" si="3"/>
        <v>-1</v>
      </c>
      <c r="N6" s="787">
        <f t="shared" si="3"/>
        <v>-1</v>
      </c>
      <c r="O6" s="789">
        <f t="shared" si="4"/>
        <v>-1</v>
      </c>
      <c r="P6" s="787">
        <f t="shared" si="4"/>
        <v>-1</v>
      </c>
      <c r="Q6" s="789">
        <f t="shared" si="5"/>
        <v>1</v>
      </c>
      <c r="R6" s="789">
        <f t="shared" si="6"/>
        <v>-1</v>
      </c>
      <c r="S6" s="788">
        <f t="shared" si="6"/>
        <v>1</v>
      </c>
      <c r="T6" s="787">
        <f t="shared" si="6"/>
        <v>1</v>
      </c>
      <c r="U6" s="789">
        <f t="shared" si="7"/>
        <v>1</v>
      </c>
      <c r="V6" s="787">
        <f t="shared" si="8"/>
        <v>1</v>
      </c>
      <c r="W6" s="790">
        <f t="shared" si="9"/>
        <v>-1</v>
      </c>
      <c r="X6" s="789">
        <f t="shared" si="10"/>
        <v>-1</v>
      </c>
      <c r="Y6" s="788">
        <f t="shared" si="11"/>
        <v>-1</v>
      </c>
      <c r="Z6" s="787">
        <f t="shared" si="12"/>
        <v>1</v>
      </c>
      <c r="AA6" s="790">
        <f t="shared" si="13"/>
        <v>1</v>
      </c>
      <c r="AB6" s="789">
        <f t="shared" si="14"/>
        <v>1</v>
      </c>
      <c r="AC6" s="788">
        <f t="shared" si="15"/>
        <v>1</v>
      </c>
      <c r="AD6" s="788">
        <f t="shared" si="16"/>
        <v>-1</v>
      </c>
      <c r="AE6" s="788">
        <f t="shared" si="17"/>
        <v>-1</v>
      </c>
      <c r="AF6" s="787">
        <f t="shared" si="18"/>
        <v>1</v>
      </c>
      <c r="AG6" s="787">
        <f t="shared" si="19"/>
        <v>-1</v>
      </c>
    </row>
    <row r="7" spans="1:33" x14ac:dyDescent="0.2">
      <c r="A7" s="791">
        <v>5</v>
      </c>
      <c r="B7" s="790">
        <v>1</v>
      </c>
      <c r="C7" s="788">
        <v>1</v>
      </c>
      <c r="D7" s="788">
        <v>-1</v>
      </c>
      <c r="E7" s="788">
        <v>-1</v>
      </c>
      <c r="F7" s="788">
        <f t="shared" si="0"/>
        <v>1</v>
      </c>
      <c r="G7" s="788">
        <f t="shared" si="1"/>
        <v>-1</v>
      </c>
      <c r="H7" s="789">
        <f t="shared" si="2"/>
        <v>-1</v>
      </c>
      <c r="I7" s="788">
        <f t="shared" si="2"/>
        <v>-1</v>
      </c>
      <c r="J7" s="788">
        <f t="shared" si="2"/>
        <v>1</v>
      </c>
      <c r="K7" s="787">
        <f t="shared" si="2"/>
        <v>-1</v>
      </c>
      <c r="L7" s="789">
        <f t="shared" si="3"/>
        <v>1</v>
      </c>
      <c r="M7" s="788">
        <f t="shared" si="3"/>
        <v>-1</v>
      </c>
      <c r="N7" s="787">
        <f t="shared" si="3"/>
        <v>1</v>
      </c>
      <c r="O7" s="789">
        <f t="shared" si="4"/>
        <v>-1</v>
      </c>
      <c r="P7" s="787">
        <f t="shared" si="4"/>
        <v>1</v>
      </c>
      <c r="Q7" s="789">
        <f t="shared" si="5"/>
        <v>-1</v>
      </c>
      <c r="R7" s="789">
        <f t="shared" si="6"/>
        <v>1</v>
      </c>
      <c r="S7" s="788">
        <f t="shared" si="6"/>
        <v>-1</v>
      </c>
      <c r="T7" s="787">
        <f t="shared" si="6"/>
        <v>1</v>
      </c>
      <c r="U7" s="789">
        <f t="shared" si="7"/>
        <v>-1</v>
      </c>
      <c r="V7" s="787">
        <f t="shared" si="8"/>
        <v>1</v>
      </c>
      <c r="W7" s="790">
        <f t="shared" si="9"/>
        <v>-1</v>
      </c>
      <c r="X7" s="789">
        <f t="shared" si="10"/>
        <v>1</v>
      </c>
      <c r="Y7" s="788">
        <f t="shared" si="11"/>
        <v>-1</v>
      </c>
      <c r="Z7" s="787">
        <f t="shared" si="12"/>
        <v>1</v>
      </c>
      <c r="AA7" s="790">
        <f t="shared" si="13"/>
        <v>1</v>
      </c>
      <c r="AB7" s="789">
        <f t="shared" si="14"/>
        <v>1</v>
      </c>
      <c r="AC7" s="788">
        <f t="shared" si="15"/>
        <v>-1</v>
      </c>
      <c r="AD7" s="788">
        <f t="shared" si="16"/>
        <v>1</v>
      </c>
      <c r="AE7" s="788">
        <f t="shared" si="17"/>
        <v>1</v>
      </c>
      <c r="AF7" s="787">
        <f t="shared" si="18"/>
        <v>-1</v>
      </c>
      <c r="AG7" s="787">
        <f t="shared" si="19"/>
        <v>-1</v>
      </c>
    </row>
    <row r="8" spans="1:33" x14ac:dyDescent="0.2">
      <c r="A8" s="791">
        <v>6</v>
      </c>
      <c r="B8" s="790">
        <v>1</v>
      </c>
      <c r="C8" s="788">
        <v>1</v>
      </c>
      <c r="D8" s="788">
        <v>-1</v>
      </c>
      <c r="E8" s="788">
        <v>1</v>
      </c>
      <c r="F8" s="788">
        <f t="shared" si="0"/>
        <v>-1</v>
      </c>
      <c r="G8" s="788">
        <f t="shared" si="1"/>
        <v>-1</v>
      </c>
      <c r="H8" s="789">
        <f t="shared" si="2"/>
        <v>-1</v>
      </c>
      <c r="I8" s="788">
        <f t="shared" si="2"/>
        <v>1</v>
      </c>
      <c r="J8" s="788">
        <f t="shared" si="2"/>
        <v>-1</v>
      </c>
      <c r="K8" s="787">
        <f t="shared" si="2"/>
        <v>-1</v>
      </c>
      <c r="L8" s="789">
        <f t="shared" si="3"/>
        <v>-1</v>
      </c>
      <c r="M8" s="788">
        <f t="shared" si="3"/>
        <v>1</v>
      </c>
      <c r="N8" s="787">
        <f t="shared" si="3"/>
        <v>1</v>
      </c>
      <c r="O8" s="789">
        <f t="shared" si="4"/>
        <v>-1</v>
      </c>
      <c r="P8" s="787">
        <f t="shared" si="4"/>
        <v>-1</v>
      </c>
      <c r="Q8" s="789">
        <f t="shared" si="5"/>
        <v>1</v>
      </c>
      <c r="R8" s="789">
        <f t="shared" si="6"/>
        <v>-1</v>
      </c>
      <c r="S8" s="788">
        <f t="shared" si="6"/>
        <v>1</v>
      </c>
      <c r="T8" s="787">
        <f t="shared" si="6"/>
        <v>1</v>
      </c>
      <c r="U8" s="789">
        <f t="shared" si="7"/>
        <v>-1</v>
      </c>
      <c r="V8" s="787">
        <f t="shared" si="8"/>
        <v>-1</v>
      </c>
      <c r="W8" s="790">
        <f t="shared" si="9"/>
        <v>1</v>
      </c>
      <c r="X8" s="789">
        <f t="shared" si="10"/>
        <v>1</v>
      </c>
      <c r="Y8" s="788">
        <f t="shared" si="11"/>
        <v>1</v>
      </c>
      <c r="Z8" s="787">
        <f t="shared" si="12"/>
        <v>-1</v>
      </c>
      <c r="AA8" s="790">
        <f t="shared" si="13"/>
        <v>1</v>
      </c>
      <c r="AB8" s="789">
        <f t="shared" si="14"/>
        <v>1</v>
      </c>
      <c r="AC8" s="788">
        <f t="shared" si="15"/>
        <v>1</v>
      </c>
      <c r="AD8" s="788">
        <f t="shared" si="16"/>
        <v>-1</v>
      </c>
      <c r="AE8" s="788">
        <f t="shared" si="17"/>
        <v>1</v>
      </c>
      <c r="AF8" s="787">
        <f t="shared" si="18"/>
        <v>-1</v>
      </c>
      <c r="AG8" s="787">
        <f t="shared" si="19"/>
        <v>-1</v>
      </c>
    </row>
    <row r="9" spans="1:33" x14ac:dyDescent="0.2">
      <c r="A9" s="791">
        <v>7</v>
      </c>
      <c r="B9" s="790">
        <v>1</v>
      </c>
      <c r="C9" s="788">
        <v>1</v>
      </c>
      <c r="D9" s="788">
        <v>1</v>
      </c>
      <c r="E9" s="788">
        <v>-1</v>
      </c>
      <c r="F9" s="788">
        <f t="shared" si="0"/>
        <v>-1</v>
      </c>
      <c r="G9" s="788">
        <f t="shared" si="1"/>
        <v>1</v>
      </c>
      <c r="H9" s="789">
        <f t="shared" si="2"/>
        <v>1</v>
      </c>
      <c r="I9" s="788">
        <f t="shared" si="2"/>
        <v>-1</v>
      </c>
      <c r="J9" s="788">
        <f t="shared" si="2"/>
        <v>-1</v>
      </c>
      <c r="K9" s="787">
        <f t="shared" si="2"/>
        <v>1</v>
      </c>
      <c r="L9" s="789">
        <f t="shared" si="3"/>
        <v>-1</v>
      </c>
      <c r="M9" s="788">
        <f t="shared" si="3"/>
        <v>-1</v>
      </c>
      <c r="N9" s="787">
        <f t="shared" si="3"/>
        <v>1</v>
      </c>
      <c r="O9" s="789">
        <f t="shared" si="4"/>
        <v>1</v>
      </c>
      <c r="P9" s="787">
        <f t="shared" si="4"/>
        <v>-1</v>
      </c>
      <c r="Q9" s="789">
        <f t="shared" si="5"/>
        <v>-1</v>
      </c>
      <c r="R9" s="789">
        <f t="shared" si="6"/>
        <v>-1</v>
      </c>
      <c r="S9" s="788">
        <f t="shared" si="6"/>
        <v>-1</v>
      </c>
      <c r="T9" s="787">
        <f t="shared" si="6"/>
        <v>1</v>
      </c>
      <c r="U9" s="789">
        <f t="shared" si="7"/>
        <v>1</v>
      </c>
      <c r="V9" s="787">
        <f t="shared" si="8"/>
        <v>-1</v>
      </c>
      <c r="W9" s="790">
        <f t="shared" si="9"/>
        <v>-1</v>
      </c>
      <c r="X9" s="789">
        <f t="shared" si="10"/>
        <v>1</v>
      </c>
      <c r="Y9" s="788">
        <f t="shared" si="11"/>
        <v>-1</v>
      </c>
      <c r="Z9" s="787">
        <f t="shared" si="12"/>
        <v>-1</v>
      </c>
      <c r="AA9" s="790">
        <f t="shared" si="13"/>
        <v>1</v>
      </c>
      <c r="AB9" s="789">
        <f t="shared" si="14"/>
        <v>1</v>
      </c>
      <c r="AC9" s="788">
        <f t="shared" si="15"/>
        <v>-1</v>
      </c>
      <c r="AD9" s="788">
        <f t="shared" si="16"/>
        <v>-1</v>
      </c>
      <c r="AE9" s="788">
        <f t="shared" si="17"/>
        <v>1</v>
      </c>
      <c r="AF9" s="787">
        <f t="shared" si="18"/>
        <v>1</v>
      </c>
      <c r="AG9" s="787">
        <f t="shared" si="19"/>
        <v>1</v>
      </c>
    </row>
    <row r="10" spans="1:33" x14ac:dyDescent="0.2">
      <c r="A10" s="786">
        <v>8</v>
      </c>
      <c r="B10" s="785">
        <v>1</v>
      </c>
      <c r="C10" s="783">
        <v>1</v>
      </c>
      <c r="D10" s="783">
        <v>1</v>
      </c>
      <c r="E10" s="783">
        <v>1</v>
      </c>
      <c r="F10" s="783">
        <f t="shared" si="0"/>
        <v>1</v>
      </c>
      <c r="G10" s="783">
        <f t="shared" si="1"/>
        <v>1</v>
      </c>
      <c r="H10" s="784">
        <f t="shared" si="2"/>
        <v>1</v>
      </c>
      <c r="I10" s="783">
        <f t="shared" si="2"/>
        <v>1</v>
      </c>
      <c r="J10" s="783">
        <f t="shared" si="2"/>
        <v>1</v>
      </c>
      <c r="K10" s="782">
        <f t="shared" si="2"/>
        <v>1</v>
      </c>
      <c r="L10" s="784">
        <f t="shared" si="3"/>
        <v>1</v>
      </c>
      <c r="M10" s="783">
        <f t="shared" si="3"/>
        <v>1</v>
      </c>
      <c r="N10" s="782">
        <f t="shared" si="3"/>
        <v>1</v>
      </c>
      <c r="O10" s="784">
        <f t="shared" si="4"/>
        <v>1</v>
      </c>
      <c r="P10" s="782">
        <f t="shared" si="4"/>
        <v>1</v>
      </c>
      <c r="Q10" s="784">
        <f t="shared" si="5"/>
        <v>1</v>
      </c>
      <c r="R10" s="784">
        <f t="shared" si="6"/>
        <v>1</v>
      </c>
      <c r="S10" s="783">
        <f t="shared" si="6"/>
        <v>1</v>
      </c>
      <c r="T10" s="782">
        <f t="shared" si="6"/>
        <v>1</v>
      </c>
      <c r="U10" s="784">
        <f t="shared" si="7"/>
        <v>1</v>
      </c>
      <c r="V10" s="782">
        <f t="shared" si="8"/>
        <v>1</v>
      </c>
      <c r="W10" s="785">
        <f t="shared" si="9"/>
        <v>1</v>
      </c>
      <c r="X10" s="784">
        <f t="shared" si="10"/>
        <v>1</v>
      </c>
      <c r="Y10" s="783">
        <f t="shared" si="11"/>
        <v>1</v>
      </c>
      <c r="Z10" s="782">
        <f t="shared" si="12"/>
        <v>1</v>
      </c>
      <c r="AA10" s="785">
        <f t="shared" si="13"/>
        <v>1</v>
      </c>
      <c r="AB10" s="784">
        <f t="shared" si="14"/>
        <v>1</v>
      </c>
      <c r="AC10" s="783">
        <f t="shared" si="15"/>
        <v>1</v>
      </c>
      <c r="AD10" s="783">
        <f t="shared" si="16"/>
        <v>1</v>
      </c>
      <c r="AE10" s="783">
        <f t="shared" si="17"/>
        <v>1</v>
      </c>
      <c r="AF10" s="782">
        <f t="shared" si="18"/>
        <v>1</v>
      </c>
      <c r="AG10" s="782">
        <f t="shared" si="19"/>
        <v>1</v>
      </c>
    </row>
    <row r="12" spans="1:33" x14ac:dyDescent="0.2">
      <c r="H12" s="1345" t="s">
        <v>336</v>
      </c>
      <c r="I12" s="1346"/>
      <c r="J12" s="1346"/>
      <c r="K12" s="1346"/>
      <c r="L12" s="1346"/>
      <c r="M12" s="1346"/>
      <c r="N12" s="1346"/>
      <c r="O12" s="1346"/>
      <c r="P12" s="1346"/>
      <c r="Q12" s="1346"/>
      <c r="R12" s="1346"/>
      <c r="S12" s="1346"/>
      <c r="T12" s="1346"/>
      <c r="U12" s="1346"/>
      <c r="V12" s="1346"/>
      <c r="W12" s="1346"/>
      <c r="X12" s="1346"/>
      <c r="Y12" s="1346"/>
      <c r="Z12" s="1346"/>
      <c r="AA12" s="1346"/>
      <c r="AB12" s="1346"/>
      <c r="AC12" s="1346"/>
      <c r="AD12" s="1346"/>
      <c r="AE12" s="1346"/>
      <c r="AF12" s="1346"/>
      <c r="AG12" s="1360"/>
    </row>
    <row r="13" spans="1:33" x14ac:dyDescent="0.2">
      <c r="H13" s="795">
        <v>12</v>
      </c>
      <c r="I13" s="13">
        <v>13</v>
      </c>
      <c r="J13" s="13">
        <v>14</v>
      </c>
      <c r="K13" s="8">
        <v>15</v>
      </c>
      <c r="L13" s="795">
        <v>23</v>
      </c>
      <c r="M13" s="13">
        <v>24</v>
      </c>
      <c r="N13" s="8">
        <v>25</v>
      </c>
      <c r="O13" s="795">
        <v>34</v>
      </c>
      <c r="P13" s="8">
        <v>35</v>
      </c>
      <c r="Q13" s="795">
        <v>45</v>
      </c>
      <c r="R13" s="795">
        <v>123</v>
      </c>
      <c r="S13" s="13">
        <v>124</v>
      </c>
      <c r="T13" s="8">
        <v>125</v>
      </c>
      <c r="U13" s="795">
        <v>134</v>
      </c>
      <c r="V13" s="8">
        <v>135</v>
      </c>
      <c r="W13" s="794">
        <v>145</v>
      </c>
      <c r="X13" s="795">
        <v>234</v>
      </c>
      <c r="Y13" s="13">
        <v>235</v>
      </c>
      <c r="Z13" s="8">
        <v>245</v>
      </c>
      <c r="AA13" s="794">
        <v>345</v>
      </c>
      <c r="AB13" s="795">
        <v>1234</v>
      </c>
      <c r="AC13" s="13">
        <v>1235</v>
      </c>
      <c r="AD13" s="13">
        <v>1245</v>
      </c>
      <c r="AE13" s="13">
        <v>1345</v>
      </c>
      <c r="AF13" s="8">
        <v>2345</v>
      </c>
      <c r="AG13" s="9">
        <v>12345</v>
      </c>
    </row>
    <row r="14" spans="1:33" x14ac:dyDescent="0.2">
      <c r="F14" s="1402" t="s">
        <v>335</v>
      </c>
      <c r="G14" s="794">
        <v>0</v>
      </c>
      <c r="H14" s="792">
        <f t="array" ref="H14:AG19">MMULT(MMULT(MINVERSE(MMULT(TRANSPOSE(B3:G10),B3:G10)),TRANSPOSE(B3:G10)),H3:AG10)</f>
        <v>0</v>
      </c>
      <c r="I14" s="3">
        <v>0</v>
      </c>
      <c r="J14" s="3">
        <v>0</v>
      </c>
      <c r="K14" s="4">
        <v>0</v>
      </c>
      <c r="L14" s="792">
        <v>0</v>
      </c>
      <c r="M14" s="3">
        <v>0</v>
      </c>
      <c r="N14" s="4">
        <v>0</v>
      </c>
      <c r="O14" s="792">
        <v>0</v>
      </c>
      <c r="P14" s="4">
        <v>0</v>
      </c>
      <c r="Q14" s="792">
        <v>0</v>
      </c>
      <c r="R14" s="792">
        <v>0</v>
      </c>
      <c r="S14" s="3">
        <v>0</v>
      </c>
      <c r="T14" s="4">
        <v>1</v>
      </c>
      <c r="U14" s="792">
        <v>0</v>
      </c>
      <c r="V14" s="4">
        <v>0</v>
      </c>
      <c r="W14" s="793">
        <v>0</v>
      </c>
      <c r="X14" s="792">
        <v>0</v>
      </c>
      <c r="Y14" s="3">
        <v>0</v>
      </c>
      <c r="Z14" s="4">
        <v>0</v>
      </c>
      <c r="AA14" s="793">
        <v>1</v>
      </c>
      <c r="AB14" s="792">
        <v>1</v>
      </c>
      <c r="AC14" s="3">
        <v>0</v>
      </c>
      <c r="AD14" s="3">
        <v>0</v>
      </c>
      <c r="AE14" s="3">
        <v>0</v>
      </c>
      <c r="AF14" s="4">
        <v>0</v>
      </c>
      <c r="AG14" s="4">
        <v>0</v>
      </c>
    </row>
    <row r="15" spans="1:33" x14ac:dyDescent="0.2">
      <c r="F15" s="1403"/>
      <c r="G15" s="791">
        <v>1</v>
      </c>
      <c r="H15" s="789">
        <v>0</v>
      </c>
      <c r="I15" s="788">
        <v>0</v>
      </c>
      <c r="J15" s="788">
        <v>0</v>
      </c>
      <c r="K15" s="787">
        <v>0</v>
      </c>
      <c r="L15" s="789">
        <v>0</v>
      </c>
      <c r="M15" s="788">
        <v>0</v>
      </c>
      <c r="N15" s="787">
        <v>1</v>
      </c>
      <c r="O15" s="789">
        <v>0</v>
      </c>
      <c r="P15" s="787">
        <v>0</v>
      </c>
      <c r="Q15" s="789">
        <v>0</v>
      </c>
      <c r="R15" s="789">
        <v>0</v>
      </c>
      <c r="S15" s="788">
        <v>0</v>
      </c>
      <c r="T15" s="787">
        <v>0</v>
      </c>
      <c r="U15" s="789">
        <v>0</v>
      </c>
      <c r="V15" s="787">
        <v>0</v>
      </c>
      <c r="W15" s="790">
        <v>0</v>
      </c>
      <c r="X15" s="789">
        <v>1</v>
      </c>
      <c r="Y15" s="788">
        <v>0</v>
      </c>
      <c r="Z15" s="787">
        <v>0</v>
      </c>
      <c r="AA15" s="790">
        <v>0</v>
      </c>
      <c r="AB15" s="789">
        <v>0</v>
      </c>
      <c r="AC15" s="788">
        <v>0</v>
      </c>
      <c r="AD15" s="788">
        <v>0</v>
      </c>
      <c r="AE15" s="788">
        <v>1</v>
      </c>
      <c r="AF15" s="787">
        <v>0</v>
      </c>
      <c r="AG15" s="787">
        <v>0</v>
      </c>
    </row>
    <row r="16" spans="1:33" x14ac:dyDescent="0.2">
      <c r="F16" s="1403"/>
      <c r="G16" s="791">
        <v>2</v>
      </c>
      <c r="H16" s="789">
        <v>0</v>
      </c>
      <c r="I16" s="788">
        <v>0</v>
      </c>
      <c r="J16" s="788">
        <v>0</v>
      </c>
      <c r="K16" s="787">
        <v>1</v>
      </c>
      <c r="L16" s="789">
        <v>0</v>
      </c>
      <c r="M16" s="788">
        <v>0</v>
      </c>
      <c r="N16" s="787">
        <v>0</v>
      </c>
      <c r="O16" s="789">
        <v>0</v>
      </c>
      <c r="P16" s="787">
        <v>0</v>
      </c>
      <c r="Q16" s="789">
        <v>0</v>
      </c>
      <c r="R16" s="789">
        <v>0</v>
      </c>
      <c r="S16" s="788">
        <v>0</v>
      </c>
      <c r="T16" s="787">
        <v>0</v>
      </c>
      <c r="U16" s="789">
        <v>1</v>
      </c>
      <c r="V16" s="787">
        <v>0</v>
      </c>
      <c r="W16" s="790">
        <v>0</v>
      </c>
      <c r="X16" s="789">
        <v>0</v>
      </c>
      <c r="Y16" s="788">
        <v>0</v>
      </c>
      <c r="Z16" s="787">
        <v>0</v>
      </c>
      <c r="AA16" s="790">
        <v>0</v>
      </c>
      <c r="AB16" s="789">
        <v>0</v>
      </c>
      <c r="AC16" s="788">
        <v>0</v>
      </c>
      <c r="AD16" s="788">
        <v>0</v>
      </c>
      <c r="AE16" s="788">
        <v>0</v>
      </c>
      <c r="AF16" s="787">
        <v>1</v>
      </c>
      <c r="AG16" s="787">
        <v>0</v>
      </c>
    </row>
    <row r="17" spans="6:33" x14ac:dyDescent="0.2">
      <c r="F17" s="1403"/>
      <c r="G17" s="791">
        <v>3</v>
      </c>
      <c r="H17" s="789">
        <v>0</v>
      </c>
      <c r="I17" s="788">
        <v>0</v>
      </c>
      <c r="J17" s="788">
        <v>0</v>
      </c>
      <c r="K17" s="787">
        <v>0</v>
      </c>
      <c r="L17" s="789">
        <v>0</v>
      </c>
      <c r="M17" s="788">
        <v>0</v>
      </c>
      <c r="N17" s="787">
        <v>0</v>
      </c>
      <c r="O17" s="789">
        <v>0</v>
      </c>
      <c r="P17" s="787">
        <v>0</v>
      </c>
      <c r="Q17" s="789">
        <v>1</v>
      </c>
      <c r="R17" s="789">
        <v>0</v>
      </c>
      <c r="S17" s="788">
        <v>1</v>
      </c>
      <c r="T17" s="787">
        <v>0</v>
      </c>
      <c r="U17" s="789">
        <v>0</v>
      </c>
      <c r="V17" s="787">
        <v>0</v>
      </c>
      <c r="W17" s="790">
        <v>0</v>
      </c>
      <c r="X17" s="789">
        <v>0</v>
      </c>
      <c r="Y17" s="788">
        <v>0</v>
      </c>
      <c r="Z17" s="787">
        <v>0</v>
      </c>
      <c r="AA17" s="790">
        <v>0</v>
      </c>
      <c r="AB17" s="789">
        <v>0</v>
      </c>
      <c r="AC17" s="788">
        <v>1</v>
      </c>
      <c r="AD17" s="788">
        <v>0</v>
      </c>
      <c r="AE17" s="788">
        <v>0</v>
      </c>
      <c r="AF17" s="787">
        <v>0</v>
      </c>
      <c r="AG17" s="787">
        <v>0</v>
      </c>
    </row>
    <row r="18" spans="6:33" x14ac:dyDescent="0.2">
      <c r="F18" s="1403"/>
      <c r="G18" s="791">
        <v>4</v>
      </c>
      <c r="H18" s="789">
        <v>0</v>
      </c>
      <c r="I18" s="788">
        <v>0</v>
      </c>
      <c r="J18" s="788">
        <v>0</v>
      </c>
      <c r="K18" s="787">
        <v>0</v>
      </c>
      <c r="L18" s="789">
        <v>0</v>
      </c>
      <c r="M18" s="788">
        <v>0</v>
      </c>
      <c r="N18" s="787">
        <v>0</v>
      </c>
      <c r="O18" s="789">
        <v>0</v>
      </c>
      <c r="P18" s="787">
        <v>1</v>
      </c>
      <c r="Q18" s="789">
        <v>0</v>
      </c>
      <c r="R18" s="789">
        <v>1</v>
      </c>
      <c r="S18" s="788">
        <v>0</v>
      </c>
      <c r="T18" s="787">
        <v>0</v>
      </c>
      <c r="U18" s="789">
        <v>0</v>
      </c>
      <c r="V18" s="787">
        <v>0</v>
      </c>
      <c r="W18" s="790">
        <v>0</v>
      </c>
      <c r="X18" s="789">
        <v>0</v>
      </c>
      <c r="Y18" s="788">
        <v>0</v>
      </c>
      <c r="Z18" s="787">
        <v>0</v>
      </c>
      <c r="AA18" s="790">
        <v>0</v>
      </c>
      <c r="AB18" s="789">
        <v>0</v>
      </c>
      <c r="AC18" s="788">
        <v>0</v>
      </c>
      <c r="AD18" s="788">
        <v>1</v>
      </c>
      <c r="AE18" s="788">
        <v>0</v>
      </c>
      <c r="AF18" s="787">
        <v>0</v>
      </c>
      <c r="AG18" s="787">
        <v>0</v>
      </c>
    </row>
    <row r="19" spans="6:33" x14ac:dyDescent="0.2">
      <c r="F19" s="1404"/>
      <c r="G19" s="786">
        <v>5</v>
      </c>
      <c r="H19" s="784">
        <v>1</v>
      </c>
      <c r="I19" s="783">
        <v>0</v>
      </c>
      <c r="J19" s="783">
        <v>0</v>
      </c>
      <c r="K19" s="782">
        <v>0</v>
      </c>
      <c r="L19" s="784">
        <v>0</v>
      </c>
      <c r="M19" s="783">
        <v>0</v>
      </c>
      <c r="N19" s="782">
        <v>0</v>
      </c>
      <c r="O19" s="784">
        <v>1</v>
      </c>
      <c r="P19" s="782">
        <v>0</v>
      </c>
      <c r="Q19" s="784">
        <v>0</v>
      </c>
      <c r="R19" s="784">
        <v>0</v>
      </c>
      <c r="S19" s="783">
        <v>0</v>
      </c>
      <c r="T19" s="782">
        <v>0</v>
      </c>
      <c r="U19" s="784">
        <v>0</v>
      </c>
      <c r="V19" s="782">
        <v>0</v>
      </c>
      <c r="W19" s="785">
        <v>0</v>
      </c>
      <c r="X19" s="784">
        <v>0</v>
      </c>
      <c r="Y19" s="783">
        <v>0</v>
      </c>
      <c r="Z19" s="782">
        <v>0</v>
      </c>
      <c r="AA19" s="785">
        <v>0</v>
      </c>
      <c r="AB19" s="784">
        <v>0</v>
      </c>
      <c r="AC19" s="783">
        <v>0</v>
      </c>
      <c r="AD19" s="783">
        <v>0</v>
      </c>
      <c r="AE19" s="783">
        <v>0</v>
      </c>
      <c r="AF19" s="782">
        <v>0</v>
      </c>
      <c r="AG19" s="782">
        <v>1</v>
      </c>
    </row>
  </sheetData>
  <mergeCells count="4">
    <mergeCell ref="B1:G1"/>
    <mergeCell ref="H1:AG1"/>
    <mergeCell ref="H12:AG12"/>
    <mergeCell ref="F14:F19"/>
  </mergeCells>
  <conditionalFormatting sqref="H14:AG19">
    <cfRule type="cellIs" dxfId="59" priority="1" operator="equal">
      <formula>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18566-D066-49A2-8C7B-5AD27B408225}">
  <dimension ref="A1:S19"/>
  <sheetViews>
    <sheetView zoomScaleNormal="100" workbookViewId="0">
      <selection activeCell="J19" sqref="J19"/>
    </sheetView>
  </sheetViews>
  <sheetFormatPr baseColWidth="10" defaultColWidth="6.83203125" defaultRowHeight="16" x14ac:dyDescent="0.2"/>
  <cols>
    <col min="1" max="1" width="4.83203125" style="1" customWidth="1"/>
    <col min="2" max="4" width="6.83203125" style="1"/>
    <col min="5" max="8" width="4.83203125" style="1" customWidth="1"/>
    <col min="9" max="10" width="6.83203125" style="1"/>
    <col min="11" max="11" width="6.83203125" style="1" customWidth="1"/>
    <col min="12" max="17" width="6.83203125" style="1"/>
    <col min="18" max="18" width="3.83203125" style="1" customWidth="1"/>
    <col min="19" max="16384" width="6.83203125" style="1"/>
  </cols>
  <sheetData>
    <row r="1" spans="1:19" ht="16" customHeight="1" x14ac:dyDescent="0.2">
      <c r="A1" s="1410" t="s">
        <v>10</v>
      </c>
      <c r="B1" s="504" t="s">
        <v>334</v>
      </c>
      <c r="C1" s="598" t="s">
        <v>333</v>
      </c>
      <c r="D1" s="781" t="s">
        <v>115</v>
      </c>
      <c r="E1" s="1357" t="s">
        <v>14</v>
      </c>
      <c r="F1" s="1358"/>
      <c r="G1" s="1358"/>
      <c r="H1" s="1359"/>
      <c r="I1" s="1405" t="s">
        <v>219</v>
      </c>
      <c r="J1" s="1405" t="s">
        <v>332</v>
      </c>
      <c r="K1" s="1407" t="s">
        <v>331</v>
      </c>
      <c r="L1" s="1371" t="s">
        <v>330</v>
      </c>
      <c r="M1" s="1374"/>
      <c r="N1" s="1374"/>
      <c r="O1" s="1374"/>
      <c r="P1" s="1408"/>
      <c r="Q1" s="1409"/>
    </row>
    <row r="2" spans="1:19" x14ac:dyDescent="0.2">
      <c r="A2" s="1411"/>
      <c r="B2" s="502" t="s">
        <v>329</v>
      </c>
      <c r="C2" s="780" t="s">
        <v>19</v>
      </c>
      <c r="D2" s="779" t="s">
        <v>328</v>
      </c>
      <c r="E2" s="7">
        <v>0</v>
      </c>
      <c r="F2" s="778">
        <v>1</v>
      </c>
      <c r="G2" s="778">
        <v>2</v>
      </c>
      <c r="H2" s="777">
        <v>12</v>
      </c>
      <c r="I2" s="1406"/>
      <c r="J2" s="1406"/>
      <c r="K2" s="1406"/>
      <c r="L2" s="2" t="s">
        <v>47</v>
      </c>
      <c r="M2" s="676" t="s">
        <v>30</v>
      </c>
      <c r="N2" s="676" t="s">
        <v>31</v>
      </c>
      <c r="O2" s="676" t="s">
        <v>32</v>
      </c>
      <c r="P2" s="676" t="s">
        <v>3</v>
      </c>
      <c r="Q2" s="667" t="s">
        <v>33</v>
      </c>
      <c r="S2" s="776"/>
    </row>
    <row r="3" spans="1:19" x14ac:dyDescent="0.2">
      <c r="A3" s="39">
        <v>1</v>
      </c>
      <c r="B3" s="89">
        <v>1400</v>
      </c>
      <c r="C3" s="475">
        <v>1</v>
      </c>
      <c r="D3" s="772">
        <v>35</v>
      </c>
      <c r="E3" s="87">
        <v>1</v>
      </c>
      <c r="F3" s="40">
        <v>-1</v>
      </c>
      <c r="G3" s="40">
        <v>-1</v>
      </c>
      <c r="H3" s="80">
        <f t="shared" ref="H3:H10" si="0">G3*F3</f>
        <v>1</v>
      </c>
      <c r="I3" s="468">
        <f t="shared" ref="I3:I10" si="1">LN(D3)</f>
        <v>3.5553480614894135</v>
      </c>
      <c r="J3" s="468">
        <f t="array" ref="J3:J10">MMULT(X,a)</f>
        <v>3.4160983282561803</v>
      </c>
      <c r="K3" s="467">
        <f>I3</f>
        <v>3.5553480614894135</v>
      </c>
      <c r="L3" s="472" t="s">
        <v>5</v>
      </c>
      <c r="M3" s="88">
        <f>SUMSQ(y_hat)-n*AVERAGE(y)^2</f>
        <v>1.3930863123568713</v>
      </c>
      <c r="N3" s="88">
        <f>m-1</f>
        <v>3</v>
      </c>
      <c r="O3" s="774">
        <f>M3/N3</f>
        <v>0.46436210411895712</v>
      </c>
      <c r="P3" s="88">
        <f>O3/O4</f>
        <v>10.548312650299749</v>
      </c>
      <c r="Q3" s="80">
        <f>FDIST(P3,N3,N4)</f>
        <v>2.2708921059033101E-2</v>
      </c>
      <c r="R3" s="1" t="str">
        <f>IF(Q3&lt;=0.05,"*","")</f>
        <v>*</v>
      </c>
    </row>
    <row r="4" spans="1:19" x14ac:dyDescent="0.2">
      <c r="A4" s="448">
        <v>2</v>
      </c>
      <c r="B4" s="89">
        <v>1400</v>
      </c>
      <c r="C4" s="475">
        <v>5</v>
      </c>
      <c r="D4" s="772">
        <v>82</v>
      </c>
      <c r="E4" s="89">
        <v>1</v>
      </c>
      <c r="F4" s="94">
        <v>-1</v>
      </c>
      <c r="G4" s="94">
        <v>1</v>
      </c>
      <c r="H4" s="90">
        <f t="shared" si="0"/>
        <v>-1</v>
      </c>
      <c r="I4" s="468">
        <f t="shared" si="1"/>
        <v>4.4067192472642533</v>
      </c>
      <c r="J4" s="468">
        <v>4.2674695140310197</v>
      </c>
      <c r="K4" s="468">
        <f>I4</f>
        <v>4.4067192472642533</v>
      </c>
      <c r="L4" s="511" t="s">
        <v>6</v>
      </c>
      <c r="M4" s="1">
        <f>SUMSQ(y)-SUMSQ(y_hat)</f>
        <v>0.17608962476316492</v>
      </c>
      <c r="N4" s="1">
        <f>n-m</f>
        <v>4</v>
      </c>
      <c r="O4" s="769">
        <f>M4/N4</f>
        <v>4.402240619079123E-2</v>
      </c>
      <c r="P4" s="130" t="s">
        <v>262</v>
      </c>
      <c r="Q4" s="80">
        <f>SQRT(O4)</f>
        <v>0.20981517149813364</v>
      </c>
    </row>
    <row r="5" spans="1:19" ht="18" x14ac:dyDescent="0.2">
      <c r="A5" s="448">
        <v>3</v>
      </c>
      <c r="B5" s="89">
        <v>2200</v>
      </c>
      <c r="C5" s="475">
        <v>1</v>
      </c>
      <c r="D5" s="772">
        <v>102</v>
      </c>
      <c r="E5" s="89">
        <v>1</v>
      </c>
      <c r="F5" s="94">
        <v>1</v>
      </c>
      <c r="G5" s="94">
        <v>-1</v>
      </c>
      <c r="H5" s="90">
        <f t="shared" si="0"/>
        <v>-1</v>
      </c>
      <c r="I5" s="468">
        <f t="shared" si="1"/>
        <v>4.6249728132842707</v>
      </c>
      <c r="J5" s="468">
        <v>4.485723080051037</v>
      </c>
      <c r="K5" s="468">
        <f>I5</f>
        <v>4.6249728132842707</v>
      </c>
      <c r="L5" s="724" t="s">
        <v>7</v>
      </c>
      <c r="M5" s="76">
        <f>SUMSQ(y)-n*AVERAGE(y)^2</f>
        <v>1.5691759371200362</v>
      </c>
      <c r="N5" s="76">
        <f>n-1</f>
        <v>7</v>
      </c>
      <c r="O5" s="76"/>
      <c r="P5" s="67" t="s">
        <v>323</v>
      </c>
      <c r="Q5" s="77">
        <f>M3/M5</f>
        <v>0.88778210231393917</v>
      </c>
    </row>
    <row r="6" spans="1:19" x14ac:dyDescent="0.2">
      <c r="A6" s="95">
        <v>4</v>
      </c>
      <c r="B6" s="89">
        <v>2200</v>
      </c>
      <c r="C6" s="475">
        <v>5</v>
      </c>
      <c r="D6" s="772">
        <v>181</v>
      </c>
      <c r="E6" s="75">
        <v>1</v>
      </c>
      <c r="F6" s="96">
        <v>1</v>
      </c>
      <c r="G6" s="96">
        <v>1</v>
      </c>
      <c r="H6" s="77">
        <f t="shared" si="0"/>
        <v>1</v>
      </c>
      <c r="I6" s="468">
        <f t="shared" si="1"/>
        <v>5.1984970312658261</v>
      </c>
      <c r="J6" s="468">
        <v>5.0592472980325924</v>
      </c>
      <c r="K6" s="468">
        <f>I6</f>
        <v>5.1984970312658261</v>
      </c>
      <c r="L6" s="1374" t="s">
        <v>327</v>
      </c>
      <c r="M6" s="1374"/>
      <c r="N6" s="1374"/>
      <c r="O6" s="1374"/>
      <c r="P6" s="1408"/>
      <c r="Q6" s="1409"/>
    </row>
    <row r="7" spans="1:19" x14ac:dyDescent="0.2">
      <c r="A7" s="39">
        <v>5</v>
      </c>
      <c r="B7" s="87">
        <f>AVERAGE(B3:B6)</f>
        <v>1800</v>
      </c>
      <c r="C7" s="41">
        <f>AVERAGE(C3:C6)</f>
        <v>3</v>
      </c>
      <c r="D7" s="775">
        <v>66</v>
      </c>
      <c r="E7" s="87">
        <v>1</v>
      </c>
      <c r="F7" s="40">
        <v>0</v>
      </c>
      <c r="G7" s="40">
        <v>0</v>
      </c>
      <c r="H7" s="80">
        <f t="shared" si="0"/>
        <v>0</v>
      </c>
      <c r="I7" s="467">
        <f t="shared" si="1"/>
        <v>4.1896547420264252</v>
      </c>
      <c r="J7" s="467">
        <v>4.3071345550927074</v>
      </c>
      <c r="K7" s="467">
        <f>AVERAGE(I7:I10)</f>
        <v>4.1678848218594728</v>
      </c>
      <c r="L7" s="676" t="s">
        <v>47</v>
      </c>
      <c r="M7" s="676" t="s">
        <v>30</v>
      </c>
      <c r="N7" s="676" t="s">
        <v>31</v>
      </c>
      <c r="O7" s="676" t="s">
        <v>32</v>
      </c>
      <c r="P7" s="676" t="s">
        <v>3</v>
      </c>
      <c r="Q7" s="667" t="s">
        <v>33</v>
      </c>
    </row>
    <row r="8" spans="1:19" x14ac:dyDescent="0.2">
      <c r="A8" s="448">
        <v>6</v>
      </c>
      <c r="B8" s="89">
        <v>1800</v>
      </c>
      <c r="C8" s="475">
        <v>3</v>
      </c>
      <c r="D8" s="772">
        <v>72</v>
      </c>
      <c r="E8" s="89">
        <v>1</v>
      </c>
      <c r="F8" s="94">
        <v>0</v>
      </c>
      <c r="G8" s="94">
        <v>0</v>
      </c>
      <c r="H8" s="90">
        <f t="shared" si="0"/>
        <v>0</v>
      </c>
      <c r="I8" s="468">
        <f t="shared" si="1"/>
        <v>4.2766661190160553</v>
      </c>
      <c r="J8" s="468">
        <v>4.3071345550927074</v>
      </c>
      <c r="K8" s="468">
        <f>K7</f>
        <v>4.1678848218594728</v>
      </c>
      <c r="L8" s="472">
        <v>1</v>
      </c>
      <c r="M8" s="88">
        <f>I13*J13</f>
        <v>0.86620485006734449</v>
      </c>
      <c r="N8" s="88">
        <v>1</v>
      </c>
      <c r="O8" s="774">
        <f t="shared" ref="O8:O14" si="2">M8/N8</f>
        <v>0.86620485006734449</v>
      </c>
      <c r="P8" s="773">
        <f>O8/O$13</f>
        <v>123.94588210649454</v>
      </c>
      <c r="Q8" s="80">
        <f>FDIST(P8,N8,N$13)</f>
        <v>1.5529241820982191E-3</v>
      </c>
      <c r="R8" s="1" t="str">
        <f>IF(Q8&lt;=0.05,"*","")</f>
        <v>*</v>
      </c>
    </row>
    <row r="9" spans="1:19" x14ac:dyDescent="0.2">
      <c r="A9" s="448">
        <v>7</v>
      </c>
      <c r="B9" s="89">
        <v>1800</v>
      </c>
      <c r="C9" s="475">
        <v>3</v>
      </c>
      <c r="D9" s="772">
        <v>61</v>
      </c>
      <c r="E9" s="89">
        <v>1</v>
      </c>
      <c r="F9" s="94">
        <v>0</v>
      </c>
      <c r="G9" s="94">
        <v>0</v>
      </c>
      <c r="H9" s="90">
        <f t="shared" si="0"/>
        <v>0</v>
      </c>
      <c r="I9" s="468">
        <f t="shared" si="1"/>
        <v>4.1108738641733114</v>
      </c>
      <c r="J9" s="468">
        <v>4.3071345550927074</v>
      </c>
      <c r="K9" s="468">
        <f>K8</f>
        <v>4.1678848218594728</v>
      </c>
      <c r="L9" s="511">
        <v>2</v>
      </c>
      <c r="M9" s="1">
        <f>I14*J14</f>
        <v>0.50758172791152512</v>
      </c>
      <c r="N9" s="1">
        <v>1</v>
      </c>
      <c r="O9" s="769">
        <f t="shared" si="2"/>
        <v>0.50758172791152512</v>
      </c>
      <c r="P9" s="102">
        <f>O9/O$13</f>
        <v>72.630238681117319</v>
      </c>
      <c r="Q9" s="90">
        <f>FDIST(P9,N9,N$13)</f>
        <v>3.3937240396791106E-3</v>
      </c>
      <c r="R9" s="1" t="str">
        <f>IF(Q9&lt;=0.05,"*","")</f>
        <v>*</v>
      </c>
    </row>
    <row r="10" spans="1:19" x14ac:dyDescent="0.2">
      <c r="A10" s="95">
        <v>8</v>
      </c>
      <c r="B10" s="75">
        <v>1800</v>
      </c>
      <c r="C10" s="97">
        <v>3</v>
      </c>
      <c r="D10" s="771">
        <v>60</v>
      </c>
      <c r="E10" s="75">
        <v>1</v>
      </c>
      <c r="F10" s="96">
        <v>0</v>
      </c>
      <c r="G10" s="96">
        <v>0</v>
      </c>
      <c r="H10" s="77">
        <f t="shared" si="0"/>
        <v>0</v>
      </c>
      <c r="I10" s="466">
        <f t="shared" si="1"/>
        <v>4.0943445622221004</v>
      </c>
      <c r="J10" s="466">
        <v>4.3071345550927074</v>
      </c>
      <c r="K10" s="466">
        <f>K9</f>
        <v>4.1678848218594728</v>
      </c>
      <c r="L10" s="511">
        <v>12</v>
      </c>
      <c r="M10" s="1">
        <f>I15*J15</f>
        <v>1.929973437798067E-2</v>
      </c>
      <c r="N10" s="1">
        <v>1</v>
      </c>
      <c r="O10" s="769">
        <f t="shared" si="2"/>
        <v>1.929973437798067E-2</v>
      </c>
      <c r="P10" s="102">
        <f>O10/O$13</f>
        <v>2.7616130315061991</v>
      </c>
      <c r="Q10" s="90">
        <f>FDIST(P10,N10,N$13)</f>
        <v>0.19513653163799083</v>
      </c>
      <c r="R10" s="1" t="str">
        <f>IF(Q10&lt;=0.05,"*","")</f>
        <v/>
      </c>
    </row>
    <row r="11" spans="1:19" ht="18" x14ac:dyDescent="0.2">
      <c r="A11" s="1357" t="s">
        <v>269</v>
      </c>
      <c r="B11" s="1358"/>
      <c r="C11" s="1358"/>
      <c r="D11" s="1359"/>
      <c r="E11" s="1357" t="s">
        <v>326</v>
      </c>
      <c r="F11" s="1358"/>
      <c r="G11" s="1358"/>
      <c r="H11" s="1359"/>
      <c r="I11" s="524" t="s">
        <v>34</v>
      </c>
      <c r="J11" s="7" t="s">
        <v>39</v>
      </c>
      <c r="K11" s="524" t="s">
        <v>325</v>
      </c>
      <c r="L11" s="7" t="s">
        <v>5</v>
      </c>
      <c r="M11" s="11">
        <f>SUM(M8:M10)</f>
        <v>1.3930863123568502</v>
      </c>
      <c r="N11" s="11">
        <f>SUM(N8:N10)</f>
        <v>3</v>
      </c>
      <c r="O11" s="768">
        <f t="shared" si="2"/>
        <v>0.46436210411895007</v>
      </c>
      <c r="P11" s="770">
        <f>O11/O$13</f>
        <v>66.445911273039343</v>
      </c>
      <c r="Q11" s="12">
        <f>FDIST(P11,N11,N$13)</f>
        <v>3.0512247116955466E-3</v>
      </c>
      <c r="R11" s="1" t="str">
        <f>IF(Q11&lt;=0.05,"*","")</f>
        <v>*</v>
      </c>
    </row>
    <row r="12" spans="1:19" x14ac:dyDescent="0.2">
      <c r="A12" s="81">
        <f t="array" ref="A12:D15">MMULT(TRANSPOSE(X),X)</f>
        <v>8</v>
      </c>
      <c r="B12" s="88">
        <v>0</v>
      </c>
      <c r="C12" s="88">
        <v>0</v>
      </c>
      <c r="D12" s="80">
        <v>0</v>
      </c>
      <c r="E12" s="81">
        <f t="array" ref="E12:H15">MINVERSE(MMULT(TRANSPOSE(X),X))</f>
        <v>0.125</v>
      </c>
      <c r="F12" s="88">
        <v>0</v>
      </c>
      <c r="G12" s="88">
        <v>0</v>
      </c>
      <c r="H12" s="80">
        <v>0</v>
      </c>
      <c r="I12" s="118">
        <f t="array" ref="I12:I15">MMULT(TRANSPOSE(X),y)</f>
        <v>34.457076440741659</v>
      </c>
      <c r="J12" s="118">
        <f t="array" ref="J12:J15">MMULT(XTX_Inv,XTy)</f>
        <v>4.3071345550927074</v>
      </c>
      <c r="K12" s="96">
        <f>COUNT(A3:A10)</f>
        <v>8</v>
      </c>
      <c r="L12" s="491" t="s">
        <v>1</v>
      </c>
      <c r="M12" s="769">
        <f>SUMSQ(K3:K10)-SUMSQ(y_hat)</f>
        <v>0.15512390564416023</v>
      </c>
      <c r="N12" s="1">
        <f>u-m</f>
        <v>1</v>
      </c>
      <c r="O12" s="769">
        <f t="shared" si="2"/>
        <v>0.15512390564416023</v>
      </c>
      <c r="P12" s="102">
        <f>O12/O$13</f>
        <v>22.196792501652737</v>
      </c>
      <c r="Q12" s="90">
        <f>FDIST(P12,N12,N$13)</f>
        <v>1.8102120516190465E-2</v>
      </c>
      <c r="R12" s="1" t="str">
        <f>IF(Q12&lt;=0.05,"*","")</f>
        <v>*</v>
      </c>
    </row>
    <row r="13" spans="1:19" x14ac:dyDescent="0.2">
      <c r="A13" s="455">
        <v>0</v>
      </c>
      <c r="B13" s="1">
        <v>4</v>
      </c>
      <c r="C13" s="1">
        <v>0</v>
      </c>
      <c r="D13" s="90">
        <v>0</v>
      </c>
      <c r="E13" s="455">
        <v>0</v>
      </c>
      <c r="F13" s="1">
        <v>0.25</v>
      </c>
      <c r="G13" s="1">
        <v>0</v>
      </c>
      <c r="H13" s="90">
        <v>0</v>
      </c>
      <c r="I13" s="450">
        <v>1.8614025357964294</v>
      </c>
      <c r="J13" s="450">
        <v>0.46535063394910736</v>
      </c>
      <c r="K13" s="524" t="s">
        <v>324</v>
      </c>
      <c r="L13" s="491" t="s">
        <v>255</v>
      </c>
      <c r="M13" s="769">
        <f>SUMSQ(y)-SUMSQ(y_r)</f>
        <v>2.0965719119004689E-2</v>
      </c>
      <c r="N13" s="1">
        <f>n-u</f>
        <v>3</v>
      </c>
      <c r="O13" s="769">
        <f t="shared" si="2"/>
        <v>6.9885730396682293E-3</v>
      </c>
      <c r="P13" s="130" t="s">
        <v>262</v>
      </c>
      <c r="Q13" s="80">
        <f>SQRT(O13)</f>
        <v>8.35976856119129E-2</v>
      </c>
    </row>
    <row r="14" spans="1:19" ht="18" x14ac:dyDescent="0.2">
      <c r="A14" s="455">
        <v>0</v>
      </c>
      <c r="B14" s="1">
        <v>0</v>
      </c>
      <c r="C14" s="1">
        <v>4</v>
      </c>
      <c r="D14" s="90">
        <v>0</v>
      </c>
      <c r="E14" s="455">
        <v>0</v>
      </c>
      <c r="F14" s="1">
        <v>0</v>
      </c>
      <c r="G14" s="1">
        <v>0.25</v>
      </c>
      <c r="H14" s="90">
        <v>0</v>
      </c>
      <c r="I14" s="450">
        <v>1.4248954037563952</v>
      </c>
      <c r="J14" s="450">
        <v>0.35622385093909881</v>
      </c>
      <c r="K14" s="75">
        <f>COUNT(E3:H3)</f>
        <v>4</v>
      </c>
      <c r="L14" s="7" t="s">
        <v>6</v>
      </c>
      <c r="M14" s="11">
        <f>SUM(M12:M13)</f>
        <v>0.17608962476316492</v>
      </c>
      <c r="N14" s="11">
        <f>SUM(N12:N13)</f>
        <v>4</v>
      </c>
      <c r="O14" s="768">
        <f t="shared" si="2"/>
        <v>4.402240619079123E-2</v>
      </c>
      <c r="P14" s="67" t="s">
        <v>323</v>
      </c>
      <c r="Q14" s="77">
        <f>M11/M15</f>
        <v>0.88778210231393762</v>
      </c>
    </row>
    <row r="15" spans="1:19" x14ac:dyDescent="0.2">
      <c r="A15" s="106">
        <v>0</v>
      </c>
      <c r="B15" s="76">
        <v>0</v>
      </c>
      <c r="C15" s="76">
        <v>0</v>
      </c>
      <c r="D15" s="77">
        <v>4</v>
      </c>
      <c r="E15" s="106">
        <v>0</v>
      </c>
      <c r="F15" s="76">
        <v>0</v>
      </c>
      <c r="G15" s="76">
        <v>0</v>
      </c>
      <c r="H15" s="77">
        <v>0.25</v>
      </c>
      <c r="I15" s="92">
        <v>-0.27784696779328488</v>
      </c>
      <c r="J15" s="92">
        <v>-6.9461741948321221E-2</v>
      </c>
      <c r="K15" s="524" t="s">
        <v>92</v>
      </c>
      <c r="L15" s="2" t="s">
        <v>7</v>
      </c>
      <c r="M15" s="457">
        <f>M11+M14</f>
        <v>1.5691759371200151</v>
      </c>
      <c r="N15" s="93">
        <f>N11+N14</f>
        <v>7</v>
      </c>
    </row>
    <row r="16" spans="1:19" x14ac:dyDescent="0.2">
      <c r="K16" s="95">
        <f>COUNT(E3:E7)</f>
        <v>5</v>
      </c>
    </row>
    <row r="18" spans="13:13" x14ac:dyDescent="0.2">
      <c r="M18" s="646"/>
    </row>
    <row r="19" spans="13:13" x14ac:dyDescent="0.2">
      <c r="M19" s="646"/>
    </row>
  </sheetData>
  <mergeCells count="9">
    <mergeCell ref="A11:D11"/>
    <mergeCell ref="E11:H11"/>
    <mergeCell ref="J1:J2"/>
    <mergeCell ref="K1:K2"/>
    <mergeCell ref="L1:Q1"/>
    <mergeCell ref="L6:Q6"/>
    <mergeCell ref="A1:A2"/>
    <mergeCell ref="E1:H1"/>
    <mergeCell ref="I1:I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1DB2F-67D5-4704-8CDB-43185B72448B}">
  <dimension ref="A1:X38"/>
  <sheetViews>
    <sheetView zoomScaleNormal="100" workbookViewId="0">
      <selection activeCell="E9" sqref="E9"/>
    </sheetView>
  </sheetViews>
  <sheetFormatPr baseColWidth="10" defaultColWidth="6" defaultRowHeight="16" x14ac:dyDescent="0.2"/>
  <cols>
    <col min="1" max="1" width="3.33203125" style="821" customWidth="1"/>
    <col min="2" max="4" width="6" style="820"/>
    <col min="5" max="5" width="6" style="820" customWidth="1"/>
    <col min="6" max="7" width="6" style="820"/>
    <col min="8" max="15" width="6" style="821"/>
    <col min="16" max="16" width="6" style="820"/>
    <col min="17" max="24" width="6" style="820" customWidth="1"/>
    <col min="25" max="16384" width="6" style="820"/>
  </cols>
  <sheetData>
    <row r="1" spans="1:24" ht="18" x14ac:dyDescent="0.2">
      <c r="A1" s="1412" t="s">
        <v>84</v>
      </c>
      <c r="B1" s="1415"/>
      <c r="C1" s="1415"/>
      <c r="D1" s="1415"/>
      <c r="E1" s="1416"/>
      <c r="F1" s="873"/>
      <c r="G1" s="873" t="s">
        <v>83</v>
      </c>
      <c r="H1" s="1412" t="s">
        <v>14</v>
      </c>
      <c r="I1" s="1417"/>
      <c r="J1" s="1417"/>
      <c r="K1" s="1417"/>
      <c r="L1" s="1417"/>
      <c r="M1" s="1417"/>
      <c r="N1" s="1417"/>
      <c r="O1" s="1418"/>
      <c r="P1" s="1412" t="s">
        <v>35</v>
      </c>
      <c r="Q1" s="1415"/>
      <c r="R1" s="1415"/>
      <c r="S1" s="1415"/>
      <c r="T1" s="1415"/>
      <c r="U1" s="1415"/>
      <c r="V1" s="1415"/>
      <c r="W1" s="1415"/>
      <c r="X1" s="1419"/>
    </row>
    <row r="2" spans="1:24" x14ac:dyDescent="0.2">
      <c r="A2" s="854" t="s">
        <v>10</v>
      </c>
      <c r="B2" s="848" t="s">
        <v>68</v>
      </c>
      <c r="C2" s="873" t="s">
        <v>66</v>
      </c>
      <c r="D2" s="872" t="s">
        <v>76</v>
      </c>
      <c r="E2" s="847" t="s">
        <v>254</v>
      </c>
      <c r="F2" s="848" t="s">
        <v>377</v>
      </c>
      <c r="G2" s="848" t="s">
        <v>254</v>
      </c>
      <c r="H2" s="848" t="s">
        <v>0</v>
      </c>
      <c r="I2" s="873" t="s">
        <v>1</v>
      </c>
      <c r="J2" s="872" t="s">
        <v>2</v>
      </c>
      <c r="K2" s="848" t="s">
        <v>68</v>
      </c>
      <c r="L2" s="872" t="s">
        <v>66</v>
      </c>
      <c r="M2" s="873">
        <v>12</v>
      </c>
      <c r="N2" s="873">
        <v>11</v>
      </c>
      <c r="O2" s="872">
        <v>22</v>
      </c>
      <c r="P2" s="874"/>
      <c r="Q2" s="848" t="s">
        <v>0</v>
      </c>
      <c r="R2" s="873" t="s">
        <v>1</v>
      </c>
      <c r="S2" s="872" t="s">
        <v>2</v>
      </c>
      <c r="T2" s="873" t="s">
        <v>68</v>
      </c>
      <c r="U2" s="872" t="s">
        <v>66</v>
      </c>
      <c r="V2" s="847">
        <v>12</v>
      </c>
      <c r="W2" s="873">
        <v>11</v>
      </c>
      <c r="X2" s="872">
        <v>22</v>
      </c>
    </row>
    <row r="3" spans="1:24" x14ac:dyDescent="0.2">
      <c r="A3" s="843">
        <v>1</v>
      </c>
      <c r="B3" s="820">
        <v>3</v>
      </c>
      <c r="C3" s="820">
        <v>6</v>
      </c>
      <c r="D3" s="829" t="s">
        <v>0</v>
      </c>
      <c r="E3" s="831">
        <v>3.7</v>
      </c>
      <c r="F3" s="831">
        <f t="shared" ref="F3:F10" si="0">E3</f>
        <v>3.7</v>
      </c>
      <c r="G3" s="831">
        <f t="array" ref="G3:G38">MMULT(X,Q23:Q30)</f>
        <v>3.6527512476869881</v>
      </c>
      <c r="H3" s="839">
        <v>1</v>
      </c>
      <c r="I3" s="837">
        <v>0</v>
      </c>
      <c r="J3" s="838">
        <v>0</v>
      </c>
      <c r="K3" s="839">
        <f t="shared" ref="K3:K38" si="1">(B3-2)</f>
        <v>1</v>
      </c>
      <c r="L3" s="838">
        <f t="shared" ref="L3:L38" si="2">(C3-7)</f>
        <v>-1</v>
      </c>
      <c r="M3" s="837">
        <f t="shared" ref="M3:M38" si="3">K3*L3</f>
        <v>-1</v>
      </c>
      <c r="N3" s="837">
        <f t="shared" ref="N3:N38" si="4">K3^2-0.66</f>
        <v>0.33999999999999997</v>
      </c>
      <c r="O3" s="838">
        <f t="shared" ref="O3:O38" si="5">L3^2-0.66</f>
        <v>0.33999999999999997</v>
      </c>
      <c r="P3" s="854" t="s">
        <v>0</v>
      </c>
      <c r="Q3" s="867">
        <f t="array" ref="Q3:X10">MMULT(TRANSPOSE(X),X)</f>
        <v>12</v>
      </c>
      <c r="R3" s="842">
        <v>0</v>
      </c>
      <c r="S3" s="836">
        <v>0</v>
      </c>
      <c r="T3" s="842">
        <v>0</v>
      </c>
      <c r="U3" s="836">
        <v>0</v>
      </c>
      <c r="V3" s="842">
        <v>0</v>
      </c>
      <c r="W3" s="867">
        <v>-1.1102230246251565E-15</v>
      </c>
      <c r="X3" s="836">
        <v>1.9984014443252818E-15</v>
      </c>
    </row>
    <row r="4" spans="1:24" x14ac:dyDescent="0.2">
      <c r="A4" s="833">
        <v>2</v>
      </c>
      <c r="B4" s="820">
        <v>3</v>
      </c>
      <c r="C4" s="820">
        <v>8</v>
      </c>
      <c r="D4" s="829" t="s">
        <v>0</v>
      </c>
      <c r="E4" s="831">
        <v>4.7</v>
      </c>
      <c r="F4" s="831">
        <f t="shared" si="0"/>
        <v>4.7</v>
      </c>
      <c r="G4" s="831">
        <v>4.8635256584613993</v>
      </c>
      <c r="H4" s="830">
        <v>1</v>
      </c>
      <c r="I4" s="821">
        <v>0</v>
      </c>
      <c r="J4" s="829">
        <v>0</v>
      </c>
      <c r="K4" s="830">
        <f t="shared" si="1"/>
        <v>1</v>
      </c>
      <c r="L4" s="829">
        <f t="shared" si="2"/>
        <v>1</v>
      </c>
      <c r="M4" s="821">
        <f t="shared" si="3"/>
        <v>1</v>
      </c>
      <c r="N4" s="821">
        <f t="shared" si="4"/>
        <v>0.33999999999999997</v>
      </c>
      <c r="O4" s="829">
        <f t="shared" si="5"/>
        <v>0.33999999999999997</v>
      </c>
      <c r="P4" s="861" t="s">
        <v>1</v>
      </c>
      <c r="Q4" s="871">
        <v>0</v>
      </c>
      <c r="R4" s="820">
        <v>12</v>
      </c>
      <c r="S4" s="860">
        <v>0</v>
      </c>
      <c r="T4" s="820">
        <v>0</v>
      </c>
      <c r="U4" s="860">
        <v>0</v>
      </c>
      <c r="V4" s="820">
        <v>0</v>
      </c>
      <c r="W4" s="871">
        <v>-1.1102230246251565E-15</v>
      </c>
      <c r="X4" s="860">
        <v>1.9984014443252818E-15</v>
      </c>
    </row>
    <row r="5" spans="1:24" x14ac:dyDescent="0.2">
      <c r="A5" s="833">
        <v>3</v>
      </c>
      <c r="B5" s="820">
        <v>1</v>
      </c>
      <c r="C5" s="820">
        <v>6</v>
      </c>
      <c r="D5" s="829" t="s">
        <v>0</v>
      </c>
      <c r="E5" s="831">
        <v>2.2999999999999998</v>
      </c>
      <c r="F5" s="831">
        <f t="shared" si="0"/>
        <v>2.2999999999999998</v>
      </c>
      <c r="G5" s="831">
        <v>2.1598219547576951</v>
      </c>
      <c r="H5" s="830">
        <v>1</v>
      </c>
      <c r="I5" s="821">
        <v>0</v>
      </c>
      <c r="J5" s="829">
        <v>0</v>
      </c>
      <c r="K5" s="830">
        <f t="shared" si="1"/>
        <v>-1</v>
      </c>
      <c r="L5" s="829">
        <f t="shared" si="2"/>
        <v>-1</v>
      </c>
      <c r="M5" s="821">
        <f t="shared" si="3"/>
        <v>1</v>
      </c>
      <c r="N5" s="821">
        <f t="shared" si="4"/>
        <v>0.33999999999999997</v>
      </c>
      <c r="O5" s="829">
        <f t="shared" si="5"/>
        <v>0.33999999999999997</v>
      </c>
      <c r="P5" s="851" t="s">
        <v>2</v>
      </c>
      <c r="Q5" s="866">
        <v>0</v>
      </c>
      <c r="R5" s="827">
        <v>0</v>
      </c>
      <c r="S5" s="834">
        <v>12</v>
      </c>
      <c r="T5" s="827">
        <v>0</v>
      </c>
      <c r="U5" s="834">
        <v>0</v>
      </c>
      <c r="V5" s="827">
        <v>0</v>
      </c>
      <c r="W5" s="866">
        <v>-1.1102230246251565E-15</v>
      </c>
      <c r="X5" s="834">
        <v>1.9984014443252818E-15</v>
      </c>
    </row>
    <row r="6" spans="1:24" x14ac:dyDescent="0.2">
      <c r="A6" s="828">
        <v>4</v>
      </c>
      <c r="B6" s="827">
        <v>1</v>
      </c>
      <c r="C6" s="827">
        <v>8</v>
      </c>
      <c r="D6" s="822" t="s">
        <v>0</v>
      </c>
      <c r="E6" s="825">
        <v>2.1</v>
      </c>
      <c r="F6" s="825">
        <f t="shared" si="0"/>
        <v>2.1</v>
      </c>
      <c r="G6" s="825">
        <v>2.1039296988654397</v>
      </c>
      <c r="H6" s="824">
        <v>1</v>
      </c>
      <c r="I6" s="823">
        <v>0</v>
      </c>
      <c r="J6" s="822">
        <v>0</v>
      </c>
      <c r="K6" s="824">
        <f t="shared" si="1"/>
        <v>-1</v>
      </c>
      <c r="L6" s="822">
        <f t="shared" si="2"/>
        <v>1</v>
      </c>
      <c r="M6" s="823">
        <f t="shared" si="3"/>
        <v>-1</v>
      </c>
      <c r="N6" s="823">
        <f t="shared" si="4"/>
        <v>0.33999999999999997</v>
      </c>
      <c r="O6" s="822">
        <f t="shared" si="5"/>
        <v>0.33999999999999997</v>
      </c>
      <c r="P6" s="857" t="s">
        <v>68</v>
      </c>
      <c r="Q6" s="871">
        <v>0</v>
      </c>
      <c r="R6" s="820">
        <v>0</v>
      </c>
      <c r="S6" s="860">
        <v>0</v>
      </c>
      <c r="T6" s="820">
        <v>23.759999999999998</v>
      </c>
      <c r="U6" s="860">
        <v>0</v>
      </c>
      <c r="V6" s="820">
        <v>0</v>
      </c>
      <c r="W6" s="871">
        <v>0</v>
      </c>
      <c r="X6" s="836">
        <v>0</v>
      </c>
    </row>
    <row r="7" spans="1:24" x14ac:dyDescent="0.2">
      <c r="A7" s="843">
        <v>5</v>
      </c>
      <c r="B7" s="842">
        <v>0.6</v>
      </c>
      <c r="C7" s="842">
        <v>7</v>
      </c>
      <c r="D7" s="838" t="s">
        <v>0</v>
      </c>
      <c r="E7" s="840">
        <v>1.5</v>
      </c>
      <c r="F7" s="840">
        <f t="shared" si="0"/>
        <v>1.5</v>
      </c>
      <c r="G7" s="840">
        <v>1.7044660188173042</v>
      </c>
      <c r="H7" s="839">
        <v>1</v>
      </c>
      <c r="I7" s="837">
        <v>0</v>
      </c>
      <c r="J7" s="838">
        <v>0</v>
      </c>
      <c r="K7" s="839">
        <f t="shared" si="1"/>
        <v>-1.4</v>
      </c>
      <c r="L7" s="838">
        <f t="shared" si="2"/>
        <v>0</v>
      </c>
      <c r="M7" s="837">
        <f t="shared" si="3"/>
        <v>0</v>
      </c>
      <c r="N7" s="837">
        <f t="shared" si="4"/>
        <v>1.2999999999999998</v>
      </c>
      <c r="O7" s="838">
        <f t="shared" si="5"/>
        <v>-0.66</v>
      </c>
      <c r="P7" s="857" t="s">
        <v>66</v>
      </c>
      <c r="Q7" s="866">
        <v>0</v>
      </c>
      <c r="R7" s="820">
        <v>0</v>
      </c>
      <c r="S7" s="860">
        <v>0</v>
      </c>
      <c r="T7" s="820">
        <v>0</v>
      </c>
      <c r="U7" s="820">
        <v>23.760000000000005</v>
      </c>
      <c r="V7" s="849">
        <v>0</v>
      </c>
      <c r="W7" s="820">
        <v>0</v>
      </c>
      <c r="X7" s="834">
        <v>0</v>
      </c>
    </row>
    <row r="8" spans="1:24" x14ac:dyDescent="0.2">
      <c r="A8" s="833">
        <v>6</v>
      </c>
      <c r="B8" s="820">
        <v>3.4</v>
      </c>
      <c r="C8" s="820">
        <v>7</v>
      </c>
      <c r="D8" s="829" t="s">
        <v>0</v>
      </c>
      <c r="E8" s="831">
        <v>4.4000000000000004</v>
      </c>
      <c r="F8" s="831">
        <f t="shared" si="0"/>
        <v>4.4000000000000004</v>
      </c>
      <c r="G8" s="831">
        <v>4.6812336955849814</v>
      </c>
      <c r="H8" s="830">
        <v>1</v>
      </c>
      <c r="I8" s="821">
        <v>0</v>
      </c>
      <c r="J8" s="829">
        <v>0</v>
      </c>
      <c r="K8" s="830">
        <f t="shared" si="1"/>
        <v>1.4</v>
      </c>
      <c r="L8" s="829">
        <f t="shared" si="2"/>
        <v>0</v>
      </c>
      <c r="M8" s="821">
        <f t="shared" si="3"/>
        <v>0</v>
      </c>
      <c r="N8" s="821">
        <f t="shared" si="4"/>
        <v>1.2999999999999998</v>
      </c>
      <c r="O8" s="829">
        <f t="shared" si="5"/>
        <v>-0.66</v>
      </c>
      <c r="P8" s="848">
        <v>12</v>
      </c>
      <c r="Q8" s="869">
        <v>0</v>
      </c>
      <c r="R8" s="870">
        <v>0</v>
      </c>
      <c r="S8" s="868">
        <v>0</v>
      </c>
      <c r="T8" s="870">
        <v>0</v>
      </c>
      <c r="U8" s="868">
        <v>0</v>
      </c>
      <c r="V8" s="870">
        <v>12</v>
      </c>
      <c r="W8" s="869">
        <v>0</v>
      </c>
      <c r="X8" s="868">
        <v>0</v>
      </c>
    </row>
    <row r="9" spans="1:24" x14ac:dyDescent="0.2">
      <c r="A9" s="833">
        <v>7</v>
      </c>
      <c r="B9" s="820">
        <v>2</v>
      </c>
      <c r="C9" s="820">
        <v>5.6</v>
      </c>
      <c r="D9" s="829" t="s">
        <v>0</v>
      </c>
      <c r="E9" s="831">
        <v>3.1</v>
      </c>
      <c r="F9" s="831">
        <f t="shared" si="0"/>
        <v>3.1</v>
      </c>
      <c r="G9" s="831">
        <v>2.7886411029923881</v>
      </c>
      <c r="H9" s="830">
        <v>1</v>
      </c>
      <c r="I9" s="821">
        <v>0</v>
      </c>
      <c r="J9" s="829">
        <v>0</v>
      </c>
      <c r="K9" s="830">
        <f t="shared" si="1"/>
        <v>0</v>
      </c>
      <c r="L9" s="829">
        <f t="shared" si="2"/>
        <v>-1.4000000000000004</v>
      </c>
      <c r="M9" s="821">
        <f t="shared" si="3"/>
        <v>0</v>
      </c>
      <c r="N9" s="821">
        <f t="shared" si="4"/>
        <v>-0.66</v>
      </c>
      <c r="O9" s="829">
        <f t="shared" si="5"/>
        <v>1.3000000000000012</v>
      </c>
      <c r="P9" s="854">
        <v>11</v>
      </c>
      <c r="Q9" s="867">
        <v>-1.1102230246251565E-15</v>
      </c>
      <c r="R9" s="842">
        <v>-1.1102230246251565E-15</v>
      </c>
      <c r="S9" s="836">
        <v>-1.1102230246251565E-15</v>
      </c>
      <c r="T9" s="842">
        <v>0</v>
      </c>
      <c r="U9" s="836">
        <v>0</v>
      </c>
      <c r="V9" s="842">
        <v>0</v>
      </c>
      <c r="W9" s="867">
        <v>19.368000000000009</v>
      </c>
      <c r="X9" s="836">
        <v>-3.681600000000004</v>
      </c>
    </row>
    <row r="10" spans="1:24" x14ac:dyDescent="0.2">
      <c r="A10" s="828">
        <v>8</v>
      </c>
      <c r="B10" s="827">
        <v>2</v>
      </c>
      <c r="C10" s="827">
        <v>8.4</v>
      </c>
      <c r="D10" s="822" t="s">
        <v>0</v>
      </c>
      <c r="E10" s="825">
        <v>3.6</v>
      </c>
      <c r="F10" s="825">
        <f t="shared" si="0"/>
        <v>3.6</v>
      </c>
      <c r="G10" s="825">
        <v>3.5970586114098966</v>
      </c>
      <c r="H10" s="824">
        <v>1</v>
      </c>
      <c r="I10" s="823">
        <v>0</v>
      </c>
      <c r="J10" s="822">
        <v>0</v>
      </c>
      <c r="K10" s="824">
        <f t="shared" si="1"/>
        <v>0</v>
      </c>
      <c r="L10" s="822">
        <f t="shared" si="2"/>
        <v>1.4000000000000004</v>
      </c>
      <c r="M10" s="823">
        <f t="shared" si="3"/>
        <v>0</v>
      </c>
      <c r="N10" s="823">
        <f t="shared" si="4"/>
        <v>-0.66</v>
      </c>
      <c r="O10" s="822">
        <f t="shared" si="5"/>
        <v>1.3000000000000012</v>
      </c>
      <c r="P10" s="851">
        <v>22</v>
      </c>
      <c r="Q10" s="866">
        <v>1.9984014443252818E-15</v>
      </c>
      <c r="R10" s="827">
        <v>1.9984014443252818E-15</v>
      </c>
      <c r="S10" s="834">
        <v>1.9984014443252818E-15</v>
      </c>
      <c r="T10" s="827">
        <v>0</v>
      </c>
      <c r="U10" s="834">
        <v>0</v>
      </c>
      <c r="V10" s="827">
        <v>0</v>
      </c>
      <c r="W10" s="866">
        <v>-3.681600000000004</v>
      </c>
      <c r="X10" s="834">
        <v>19.368000000000031</v>
      </c>
    </row>
    <row r="11" spans="1:24" ht="18" x14ac:dyDescent="0.2">
      <c r="A11" s="843">
        <v>9</v>
      </c>
      <c r="B11" s="820">
        <v>2</v>
      </c>
      <c r="C11" s="820">
        <v>7</v>
      </c>
      <c r="D11" s="829" t="s">
        <v>0</v>
      </c>
      <c r="E11" s="841">
        <v>3.6</v>
      </c>
      <c r="F11" s="840">
        <f>AVERAGE(E11:E14)</f>
        <v>3.125</v>
      </c>
      <c r="G11" s="840">
        <v>3.087143002855977</v>
      </c>
      <c r="H11" s="839">
        <v>1</v>
      </c>
      <c r="I11" s="837">
        <v>0</v>
      </c>
      <c r="J11" s="838">
        <v>0</v>
      </c>
      <c r="K11" s="839">
        <f t="shared" si="1"/>
        <v>0</v>
      </c>
      <c r="L11" s="838">
        <f t="shared" si="2"/>
        <v>0</v>
      </c>
      <c r="M11" s="837">
        <f t="shared" si="3"/>
        <v>0</v>
      </c>
      <c r="N11" s="837">
        <f t="shared" si="4"/>
        <v>-0.66</v>
      </c>
      <c r="O11" s="838">
        <f t="shared" si="5"/>
        <v>-0.66</v>
      </c>
      <c r="P11" s="1412" t="s">
        <v>40</v>
      </c>
      <c r="Q11" s="1415"/>
      <c r="R11" s="1415"/>
      <c r="S11" s="1415"/>
      <c r="T11" s="1415"/>
      <c r="U11" s="1415"/>
      <c r="V11" s="1415"/>
      <c r="W11" s="1415"/>
      <c r="X11" s="1419"/>
    </row>
    <row r="12" spans="1:24" x14ac:dyDescent="0.2">
      <c r="A12" s="833">
        <v>10</v>
      </c>
      <c r="B12" s="820">
        <v>2</v>
      </c>
      <c r="C12" s="820">
        <v>7</v>
      </c>
      <c r="D12" s="829" t="s">
        <v>0</v>
      </c>
      <c r="E12" s="832">
        <v>2.7</v>
      </c>
      <c r="F12" s="831">
        <f>F11</f>
        <v>3.125</v>
      </c>
      <c r="G12" s="831">
        <v>3.087143002855977</v>
      </c>
      <c r="H12" s="830">
        <v>1</v>
      </c>
      <c r="I12" s="821">
        <v>0</v>
      </c>
      <c r="J12" s="829">
        <v>0</v>
      </c>
      <c r="K12" s="830">
        <f t="shared" si="1"/>
        <v>0</v>
      </c>
      <c r="L12" s="829">
        <f t="shared" si="2"/>
        <v>0</v>
      </c>
      <c r="M12" s="821">
        <f t="shared" si="3"/>
        <v>0</v>
      </c>
      <c r="N12" s="821">
        <f t="shared" si="4"/>
        <v>-0.66</v>
      </c>
      <c r="O12" s="829">
        <f t="shared" si="5"/>
        <v>-0.66</v>
      </c>
      <c r="P12" s="874"/>
      <c r="Q12" s="848" t="s">
        <v>0</v>
      </c>
      <c r="R12" s="873" t="s">
        <v>1</v>
      </c>
      <c r="S12" s="872" t="s">
        <v>2</v>
      </c>
      <c r="T12" s="873" t="s">
        <v>68</v>
      </c>
      <c r="U12" s="872" t="s">
        <v>66</v>
      </c>
      <c r="V12" s="847">
        <v>12</v>
      </c>
      <c r="W12" s="873">
        <v>11</v>
      </c>
      <c r="X12" s="872">
        <v>22</v>
      </c>
    </row>
    <row r="13" spans="1:24" x14ac:dyDescent="0.2">
      <c r="A13" s="833">
        <v>11</v>
      </c>
      <c r="B13" s="820">
        <v>2</v>
      </c>
      <c r="C13" s="820">
        <v>7</v>
      </c>
      <c r="D13" s="829" t="s">
        <v>0</v>
      </c>
      <c r="E13" s="832">
        <v>3.4</v>
      </c>
      <c r="F13" s="831">
        <f>F12</f>
        <v>3.125</v>
      </c>
      <c r="G13" s="831">
        <v>3.087143002855977</v>
      </c>
      <c r="H13" s="830">
        <v>1</v>
      </c>
      <c r="I13" s="821">
        <v>0</v>
      </c>
      <c r="J13" s="829">
        <v>0</v>
      </c>
      <c r="K13" s="830">
        <f t="shared" si="1"/>
        <v>0</v>
      </c>
      <c r="L13" s="829">
        <f t="shared" si="2"/>
        <v>0</v>
      </c>
      <c r="M13" s="821">
        <f t="shared" si="3"/>
        <v>0</v>
      </c>
      <c r="N13" s="821">
        <f t="shared" si="4"/>
        <v>-0.66</v>
      </c>
      <c r="O13" s="829">
        <f t="shared" si="5"/>
        <v>-0.66</v>
      </c>
      <c r="P13" s="854" t="s">
        <v>0</v>
      </c>
      <c r="Q13" s="867">
        <f t="array" ref="Q13:X20">MINVERSE(MMULT(TRANSPOSE(X),X))</f>
        <v>8.3333333333333329E-2</v>
      </c>
      <c r="R13" s="842">
        <v>1.630345612198009E-33</v>
      </c>
      <c r="S13" s="836">
        <v>1.630345612198009E-33</v>
      </c>
      <c r="T13" s="842">
        <v>0</v>
      </c>
      <c r="U13" s="836">
        <v>0</v>
      </c>
      <c r="V13" s="842">
        <v>0</v>
      </c>
      <c r="W13" s="867">
        <v>3.2602425523268951E-18</v>
      </c>
      <c r="X13" s="836">
        <v>-7.9786526597029395E-18</v>
      </c>
    </row>
    <row r="14" spans="1:24" x14ac:dyDescent="0.2">
      <c r="A14" s="828">
        <v>12</v>
      </c>
      <c r="B14" s="827">
        <v>2</v>
      </c>
      <c r="C14" s="827">
        <v>7</v>
      </c>
      <c r="D14" s="822" t="s">
        <v>0</v>
      </c>
      <c r="E14" s="826">
        <v>2.8</v>
      </c>
      <c r="F14" s="825">
        <f>F13</f>
        <v>3.125</v>
      </c>
      <c r="G14" s="825">
        <v>3.087143002855977</v>
      </c>
      <c r="H14" s="824">
        <v>1</v>
      </c>
      <c r="I14" s="823">
        <v>0</v>
      </c>
      <c r="J14" s="822">
        <v>0</v>
      </c>
      <c r="K14" s="824">
        <f t="shared" si="1"/>
        <v>0</v>
      </c>
      <c r="L14" s="822">
        <f t="shared" si="2"/>
        <v>0</v>
      </c>
      <c r="M14" s="823">
        <f t="shared" si="3"/>
        <v>0</v>
      </c>
      <c r="N14" s="823">
        <f t="shared" si="4"/>
        <v>-0.66</v>
      </c>
      <c r="O14" s="822">
        <f t="shared" si="5"/>
        <v>-0.66</v>
      </c>
      <c r="P14" s="861" t="s">
        <v>1</v>
      </c>
      <c r="Q14" s="866">
        <v>1.630345612198009E-33</v>
      </c>
      <c r="R14" s="827">
        <v>8.3333333333333329E-2</v>
      </c>
      <c r="S14" s="834">
        <v>1.630345612198009E-33</v>
      </c>
      <c r="T14" s="827">
        <v>0</v>
      </c>
      <c r="U14" s="834">
        <v>0</v>
      </c>
      <c r="V14" s="827">
        <v>0</v>
      </c>
      <c r="W14" s="866">
        <v>3.2602425523268951E-18</v>
      </c>
      <c r="X14" s="834">
        <v>-7.9786526597029395E-18</v>
      </c>
    </row>
    <row r="15" spans="1:24" x14ac:dyDescent="0.2">
      <c r="A15" s="843">
        <v>13</v>
      </c>
      <c r="B15" s="842">
        <v>3</v>
      </c>
      <c r="C15" s="842">
        <v>6</v>
      </c>
      <c r="D15" s="838" t="s">
        <v>372</v>
      </c>
      <c r="E15" s="841">
        <v>4.2</v>
      </c>
      <c r="F15" s="831">
        <f t="shared" ref="F15:F22" si="6">E15</f>
        <v>4.2</v>
      </c>
      <c r="G15" s="840">
        <v>4.2194179143536541</v>
      </c>
      <c r="H15" s="839">
        <v>0</v>
      </c>
      <c r="I15" s="837">
        <v>1</v>
      </c>
      <c r="J15" s="838">
        <v>0</v>
      </c>
      <c r="K15" s="839">
        <f t="shared" si="1"/>
        <v>1</v>
      </c>
      <c r="L15" s="838">
        <f t="shared" si="2"/>
        <v>-1</v>
      </c>
      <c r="M15" s="837">
        <f t="shared" si="3"/>
        <v>-1</v>
      </c>
      <c r="N15" s="837">
        <f t="shared" si="4"/>
        <v>0.33999999999999997</v>
      </c>
      <c r="O15" s="838">
        <f t="shared" si="5"/>
        <v>0.33999999999999997</v>
      </c>
      <c r="P15" s="851" t="s">
        <v>2</v>
      </c>
      <c r="Q15" s="871">
        <v>1.630345612198009E-33</v>
      </c>
      <c r="R15" s="820">
        <v>1.630345612198009E-33</v>
      </c>
      <c r="S15" s="860">
        <v>8.3333333333333329E-2</v>
      </c>
      <c r="T15" s="820">
        <v>0</v>
      </c>
      <c r="U15" s="860">
        <v>0</v>
      </c>
      <c r="V15" s="820">
        <v>0</v>
      </c>
      <c r="W15" s="871">
        <v>3.2602425523268951E-18</v>
      </c>
      <c r="X15" s="860">
        <v>-7.9786526597029395E-18</v>
      </c>
    </row>
    <row r="16" spans="1:24" x14ac:dyDescent="0.2">
      <c r="A16" s="833">
        <v>14</v>
      </c>
      <c r="B16" s="820">
        <v>3</v>
      </c>
      <c r="C16" s="820">
        <v>8</v>
      </c>
      <c r="D16" s="829" t="s">
        <v>372</v>
      </c>
      <c r="E16" s="832">
        <v>5.7</v>
      </c>
      <c r="F16" s="831">
        <f t="shared" si="6"/>
        <v>5.7</v>
      </c>
      <c r="G16" s="831">
        <v>5.4301923251280648</v>
      </c>
      <c r="H16" s="830">
        <v>0</v>
      </c>
      <c r="I16" s="821">
        <v>1</v>
      </c>
      <c r="J16" s="829">
        <v>0</v>
      </c>
      <c r="K16" s="830">
        <f t="shared" si="1"/>
        <v>1</v>
      </c>
      <c r="L16" s="829">
        <f t="shared" si="2"/>
        <v>1</v>
      </c>
      <c r="M16" s="821">
        <f t="shared" si="3"/>
        <v>1</v>
      </c>
      <c r="N16" s="821">
        <f t="shared" si="4"/>
        <v>0.33999999999999997</v>
      </c>
      <c r="O16" s="829">
        <f t="shared" si="5"/>
        <v>0.33999999999999997</v>
      </c>
      <c r="P16" s="857" t="s">
        <v>68</v>
      </c>
      <c r="Q16" s="871">
        <v>0</v>
      </c>
      <c r="R16" s="820">
        <v>0</v>
      </c>
      <c r="S16" s="860">
        <v>0</v>
      </c>
      <c r="T16" s="820">
        <v>4.208754208754209E-2</v>
      </c>
      <c r="U16" s="860">
        <v>0</v>
      </c>
      <c r="V16" s="820">
        <v>0</v>
      </c>
      <c r="W16" s="871">
        <v>0</v>
      </c>
      <c r="X16" s="860">
        <v>0</v>
      </c>
    </row>
    <row r="17" spans="1:24" x14ac:dyDescent="0.2">
      <c r="A17" s="833">
        <v>15</v>
      </c>
      <c r="B17" s="820">
        <v>1</v>
      </c>
      <c r="C17" s="820">
        <v>6</v>
      </c>
      <c r="D17" s="829" t="s">
        <v>372</v>
      </c>
      <c r="E17" s="832">
        <v>2.2999999999999998</v>
      </c>
      <c r="F17" s="831">
        <f t="shared" si="6"/>
        <v>2.2999999999999998</v>
      </c>
      <c r="G17" s="831">
        <v>2.7264886214243602</v>
      </c>
      <c r="H17" s="830">
        <v>0</v>
      </c>
      <c r="I17" s="821">
        <v>1</v>
      </c>
      <c r="J17" s="829">
        <v>0</v>
      </c>
      <c r="K17" s="830">
        <f t="shared" si="1"/>
        <v>-1</v>
      </c>
      <c r="L17" s="829">
        <f t="shared" si="2"/>
        <v>-1</v>
      </c>
      <c r="M17" s="821">
        <f t="shared" si="3"/>
        <v>1</v>
      </c>
      <c r="N17" s="821">
        <f t="shared" si="4"/>
        <v>0.33999999999999997</v>
      </c>
      <c r="O17" s="829">
        <f t="shared" si="5"/>
        <v>0.33999999999999997</v>
      </c>
      <c r="P17" s="857" t="s">
        <v>66</v>
      </c>
      <c r="Q17" s="866">
        <v>0</v>
      </c>
      <c r="R17" s="820">
        <v>0</v>
      </c>
      <c r="S17" s="860">
        <v>0</v>
      </c>
      <c r="T17" s="820">
        <v>0</v>
      </c>
      <c r="U17" s="820">
        <v>4.2087542087542076E-2</v>
      </c>
      <c r="V17" s="849">
        <v>0</v>
      </c>
      <c r="W17" s="820">
        <v>0</v>
      </c>
      <c r="X17" s="870">
        <v>0</v>
      </c>
    </row>
    <row r="18" spans="1:24" x14ac:dyDescent="0.2">
      <c r="A18" s="828">
        <v>16</v>
      </c>
      <c r="B18" s="827">
        <v>1</v>
      </c>
      <c r="C18" s="827">
        <v>8</v>
      </c>
      <c r="D18" s="822" t="s">
        <v>372</v>
      </c>
      <c r="E18" s="826">
        <v>2.5</v>
      </c>
      <c r="F18" s="825">
        <f t="shared" si="6"/>
        <v>2.5</v>
      </c>
      <c r="G18" s="825">
        <v>2.6705963655321052</v>
      </c>
      <c r="H18" s="824">
        <v>0</v>
      </c>
      <c r="I18" s="823">
        <v>1</v>
      </c>
      <c r="J18" s="822">
        <v>0</v>
      </c>
      <c r="K18" s="824">
        <f t="shared" si="1"/>
        <v>-1</v>
      </c>
      <c r="L18" s="822">
        <f t="shared" si="2"/>
        <v>1</v>
      </c>
      <c r="M18" s="823">
        <f t="shared" si="3"/>
        <v>-1</v>
      </c>
      <c r="N18" s="823">
        <f t="shared" si="4"/>
        <v>0.33999999999999997</v>
      </c>
      <c r="O18" s="822">
        <f t="shared" si="5"/>
        <v>0.33999999999999997</v>
      </c>
      <c r="P18" s="848">
        <v>12</v>
      </c>
      <c r="Q18" s="869">
        <v>0</v>
      </c>
      <c r="R18" s="870">
        <v>0</v>
      </c>
      <c r="S18" s="868">
        <v>0</v>
      </c>
      <c r="T18" s="870">
        <v>0</v>
      </c>
      <c r="U18" s="868">
        <v>0</v>
      </c>
      <c r="V18" s="870">
        <v>8.3333333333333329E-2</v>
      </c>
      <c r="W18" s="869">
        <v>0</v>
      </c>
      <c r="X18" s="868">
        <v>0</v>
      </c>
    </row>
    <row r="19" spans="1:24" x14ac:dyDescent="0.2">
      <c r="A19" s="843">
        <v>17</v>
      </c>
      <c r="B19" s="820">
        <v>0.6</v>
      </c>
      <c r="C19" s="820">
        <v>7</v>
      </c>
      <c r="D19" s="838" t="s">
        <v>372</v>
      </c>
      <c r="E19" s="832">
        <v>2.7</v>
      </c>
      <c r="F19" s="840">
        <f t="shared" si="6"/>
        <v>2.7</v>
      </c>
      <c r="G19" s="841">
        <v>2.2711326854839697</v>
      </c>
      <c r="H19" s="839">
        <v>0</v>
      </c>
      <c r="I19" s="837">
        <v>1</v>
      </c>
      <c r="J19" s="838">
        <v>0</v>
      </c>
      <c r="K19" s="839">
        <f t="shared" si="1"/>
        <v>-1.4</v>
      </c>
      <c r="L19" s="838">
        <f t="shared" si="2"/>
        <v>0</v>
      </c>
      <c r="M19" s="837">
        <f t="shared" si="3"/>
        <v>0</v>
      </c>
      <c r="N19" s="837">
        <f t="shared" si="4"/>
        <v>1.2999999999999998</v>
      </c>
      <c r="O19" s="838">
        <f t="shared" si="5"/>
        <v>-0.66</v>
      </c>
      <c r="P19" s="854">
        <v>11</v>
      </c>
      <c r="Q19" s="867">
        <v>3.2602425523268959E-18</v>
      </c>
      <c r="R19" s="842">
        <v>3.2602425523268959E-18</v>
      </c>
      <c r="S19" s="836">
        <v>3.2602425523268959E-18</v>
      </c>
      <c r="T19" s="842">
        <v>0</v>
      </c>
      <c r="U19" s="836">
        <v>0</v>
      </c>
      <c r="V19" s="842">
        <v>0</v>
      </c>
      <c r="W19" s="867">
        <v>5.3567095411591534E-2</v>
      </c>
      <c r="X19" s="836">
        <v>1.0182394592488398E-2</v>
      </c>
    </row>
    <row r="20" spans="1:24" x14ac:dyDescent="0.2">
      <c r="A20" s="833">
        <v>18</v>
      </c>
      <c r="B20" s="820">
        <v>3.4</v>
      </c>
      <c r="C20" s="820">
        <v>7</v>
      </c>
      <c r="D20" s="829" t="s">
        <v>372</v>
      </c>
      <c r="E20" s="832">
        <v>5.2</v>
      </c>
      <c r="F20" s="831">
        <f t="shared" si="6"/>
        <v>5.2</v>
      </c>
      <c r="G20" s="832">
        <v>5.2479003622516469</v>
      </c>
      <c r="H20" s="830">
        <v>0</v>
      </c>
      <c r="I20" s="821">
        <v>1</v>
      </c>
      <c r="J20" s="829">
        <v>0</v>
      </c>
      <c r="K20" s="830">
        <f t="shared" si="1"/>
        <v>1.4</v>
      </c>
      <c r="L20" s="829">
        <f t="shared" si="2"/>
        <v>0</v>
      </c>
      <c r="M20" s="821">
        <f t="shared" si="3"/>
        <v>0</v>
      </c>
      <c r="N20" s="821">
        <f t="shared" si="4"/>
        <v>1.2999999999999998</v>
      </c>
      <c r="O20" s="829">
        <f t="shared" si="5"/>
        <v>-0.66</v>
      </c>
      <c r="P20" s="851">
        <v>22</v>
      </c>
      <c r="Q20" s="866">
        <v>-7.9786526597029395E-18</v>
      </c>
      <c r="R20" s="827">
        <v>-7.9786526597029395E-18</v>
      </c>
      <c r="S20" s="834">
        <v>-7.9786526597029395E-18</v>
      </c>
      <c r="T20" s="827">
        <v>0</v>
      </c>
      <c r="U20" s="834">
        <v>0</v>
      </c>
      <c r="V20" s="827">
        <v>0</v>
      </c>
      <c r="W20" s="866">
        <v>1.0182394592488399E-2</v>
      </c>
      <c r="X20" s="834">
        <v>5.3567095411591478E-2</v>
      </c>
    </row>
    <row r="21" spans="1:24" x14ac:dyDescent="0.2">
      <c r="A21" s="833">
        <v>19</v>
      </c>
      <c r="B21" s="820">
        <v>2</v>
      </c>
      <c r="C21" s="820">
        <v>5.6</v>
      </c>
      <c r="D21" s="829" t="s">
        <v>372</v>
      </c>
      <c r="E21" s="832">
        <v>3.4</v>
      </c>
      <c r="F21" s="831">
        <f t="shared" si="6"/>
        <v>3.4</v>
      </c>
      <c r="G21" s="832">
        <v>3.3553077696590536</v>
      </c>
      <c r="H21" s="830">
        <v>0</v>
      </c>
      <c r="I21" s="821">
        <v>1</v>
      </c>
      <c r="J21" s="829">
        <v>0</v>
      </c>
      <c r="K21" s="830">
        <f t="shared" si="1"/>
        <v>0</v>
      </c>
      <c r="L21" s="829">
        <f t="shared" si="2"/>
        <v>-1.4000000000000004</v>
      </c>
      <c r="M21" s="821">
        <f t="shared" si="3"/>
        <v>0</v>
      </c>
      <c r="N21" s="821">
        <f t="shared" si="4"/>
        <v>-0.66</v>
      </c>
      <c r="O21" s="829">
        <f t="shared" si="5"/>
        <v>1.3000000000000012</v>
      </c>
    </row>
    <row r="22" spans="1:24" ht="19" x14ac:dyDescent="0.25">
      <c r="A22" s="828">
        <v>20</v>
      </c>
      <c r="B22" s="827">
        <v>2</v>
      </c>
      <c r="C22" s="827">
        <v>8.4</v>
      </c>
      <c r="D22" s="822" t="s">
        <v>372</v>
      </c>
      <c r="E22" s="832">
        <v>4.0999999999999996</v>
      </c>
      <c r="F22" s="825">
        <f t="shared" si="6"/>
        <v>4.0999999999999996</v>
      </c>
      <c r="G22" s="826">
        <v>4.1637252780765621</v>
      </c>
      <c r="H22" s="824">
        <v>0</v>
      </c>
      <c r="I22" s="823">
        <v>1</v>
      </c>
      <c r="J22" s="822">
        <v>0</v>
      </c>
      <c r="K22" s="824">
        <f t="shared" si="1"/>
        <v>0</v>
      </c>
      <c r="L22" s="822">
        <f t="shared" si="2"/>
        <v>1.4000000000000004</v>
      </c>
      <c r="M22" s="823">
        <f t="shared" si="3"/>
        <v>0</v>
      </c>
      <c r="N22" s="823">
        <f t="shared" si="4"/>
        <v>-0.66</v>
      </c>
      <c r="O22" s="822">
        <f t="shared" si="5"/>
        <v>1.3000000000000012</v>
      </c>
      <c r="P22" s="144"/>
      <c r="Q22" s="847" t="s">
        <v>39</v>
      </c>
      <c r="R22" s="847" t="s">
        <v>183</v>
      </c>
      <c r="S22" s="865" t="s">
        <v>43</v>
      </c>
      <c r="T22" s="865" t="s">
        <v>33</v>
      </c>
      <c r="U22" s="144"/>
      <c r="V22" s="863" t="s">
        <v>34</v>
      </c>
      <c r="W22" s="847" t="s">
        <v>376</v>
      </c>
      <c r="X22" s="864">
        <f>AVERAGE(Q23:Q25)</f>
        <v>3.530555555555555</v>
      </c>
    </row>
    <row r="23" spans="1:24" ht="18" x14ac:dyDescent="0.25">
      <c r="A23" s="843">
        <v>21</v>
      </c>
      <c r="B23" s="842">
        <v>2</v>
      </c>
      <c r="C23" s="842">
        <v>7</v>
      </c>
      <c r="D23" s="838" t="s">
        <v>372</v>
      </c>
      <c r="E23" s="841">
        <v>3.4</v>
      </c>
      <c r="F23" s="840">
        <f>AVERAGE(E23:E26)</f>
        <v>3.65</v>
      </c>
      <c r="G23" s="831">
        <v>3.6538096695226425</v>
      </c>
      <c r="H23" s="839">
        <v>0</v>
      </c>
      <c r="I23" s="837">
        <v>1</v>
      </c>
      <c r="J23" s="838">
        <v>0</v>
      </c>
      <c r="K23" s="839">
        <f t="shared" si="1"/>
        <v>0</v>
      </c>
      <c r="L23" s="838">
        <f t="shared" si="2"/>
        <v>0</v>
      </c>
      <c r="M23" s="837">
        <f t="shared" si="3"/>
        <v>0</v>
      </c>
      <c r="N23" s="837">
        <f t="shared" si="4"/>
        <v>-0.66</v>
      </c>
      <c r="O23" s="838">
        <f t="shared" si="5"/>
        <v>-0.66</v>
      </c>
      <c r="P23" s="854" t="s">
        <v>0</v>
      </c>
      <c r="Q23" s="853">
        <f t="array" ref="Q23:Q30">MMULT(Q13:X20,V23:V30)</f>
        <v>3.1583333333333332</v>
      </c>
      <c r="R23" s="852" t="e">
        <f t="array" aca="1" ref="R23:R30" ca="1">SQRT([6]!DIAG(Q13:X20)*S35)</f>
        <v>#NAME?</v>
      </c>
      <c r="S23" s="852" t="e">
        <f t="shared" ref="S23:S30" ca="1" si="7">Q23/R23</f>
        <v>#NAME?</v>
      </c>
      <c r="T23" s="852"/>
      <c r="U23" s="144" t="str">
        <f t="shared" ref="U23:U30" si="8">IF(T23&lt;=0.05,"*","")</f>
        <v>*</v>
      </c>
      <c r="V23" s="852">
        <f t="array" ref="V23:V30">MMULT(TRANSPOSE(X),E3:E38)</f>
        <v>37.9</v>
      </c>
      <c r="W23" s="863" t="s">
        <v>375</v>
      </c>
      <c r="X23" s="862">
        <f>Q23-X$22</f>
        <v>-0.37222222222222179</v>
      </c>
    </row>
    <row r="24" spans="1:24" ht="18" x14ac:dyDescent="0.25">
      <c r="A24" s="833">
        <v>22</v>
      </c>
      <c r="B24" s="820">
        <v>2</v>
      </c>
      <c r="C24" s="820">
        <v>7</v>
      </c>
      <c r="D24" s="829" t="s">
        <v>372</v>
      </c>
      <c r="E24" s="832">
        <v>3.8</v>
      </c>
      <c r="F24" s="831">
        <f>F23</f>
        <v>3.65</v>
      </c>
      <c r="G24" s="831">
        <v>3.6538096695226425</v>
      </c>
      <c r="H24" s="830">
        <v>0</v>
      </c>
      <c r="I24" s="821">
        <v>1</v>
      </c>
      <c r="J24" s="829">
        <v>0</v>
      </c>
      <c r="K24" s="830">
        <f t="shared" si="1"/>
        <v>0</v>
      </c>
      <c r="L24" s="829">
        <f t="shared" si="2"/>
        <v>0</v>
      </c>
      <c r="M24" s="821">
        <f t="shared" si="3"/>
        <v>0</v>
      </c>
      <c r="N24" s="821">
        <f t="shared" si="4"/>
        <v>-0.66</v>
      </c>
      <c r="O24" s="829">
        <f t="shared" si="5"/>
        <v>-0.66</v>
      </c>
      <c r="P24" s="861" t="s">
        <v>1</v>
      </c>
      <c r="Q24" s="859">
        <v>3.7249999999999988</v>
      </c>
      <c r="R24" s="858" t="e">
        <f ca="1"/>
        <v>#NAME?</v>
      </c>
      <c r="S24" s="858" t="e">
        <f t="shared" ca="1" si="7"/>
        <v>#NAME?</v>
      </c>
      <c r="T24" s="858" t="e">
        <f t="shared" ref="T24:T30" ca="1" si="9">TDIST(ABS(S24),R$35,2)</f>
        <v>#NAME?</v>
      </c>
      <c r="U24" s="144" t="e">
        <f t="shared" ca="1" si="8"/>
        <v>#NAME?</v>
      </c>
      <c r="V24" s="858">
        <v>44.699999999999989</v>
      </c>
      <c r="W24" s="844" t="s">
        <v>374</v>
      </c>
      <c r="X24" s="860">
        <f>Q24-X$22</f>
        <v>0.19444444444444375</v>
      </c>
    </row>
    <row r="25" spans="1:24" ht="18" x14ac:dyDescent="0.25">
      <c r="A25" s="833">
        <v>23</v>
      </c>
      <c r="B25" s="820">
        <v>2</v>
      </c>
      <c r="C25" s="820">
        <v>7</v>
      </c>
      <c r="D25" s="829" t="s">
        <v>372</v>
      </c>
      <c r="E25" s="832">
        <v>3.8</v>
      </c>
      <c r="F25" s="831">
        <f>F24</f>
        <v>3.65</v>
      </c>
      <c r="G25" s="831">
        <v>3.6538096695226425</v>
      </c>
      <c r="H25" s="830">
        <v>0</v>
      </c>
      <c r="I25" s="821">
        <v>1</v>
      </c>
      <c r="J25" s="829">
        <v>0</v>
      </c>
      <c r="K25" s="830">
        <f t="shared" si="1"/>
        <v>0</v>
      </c>
      <c r="L25" s="829">
        <f t="shared" si="2"/>
        <v>0</v>
      </c>
      <c r="M25" s="821">
        <f t="shared" si="3"/>
        <v>0</v>
      </c>
      <c r="N25" s="821">
        <f t="shared" si="4"/>
        <v>-0.66</v>
      </c>
      <c r="O25" s="829">
        <f t="shared" si="5"/>
        <v>-0.66</v>
      </c>
      <c r="P25" s="851" t="s">
        <v>2</v>
      </c>
      <c r="Q25" s="850">
        <v>3.7083333333333326</v>
      </c>
      <c r="R25" s="849" t="e">
        <f ca="1"/>
        <v>#NAME?</v>
      </c>
      <c r="S25" s="849" t="e">
        <f t="shared" ca="1" si="7"/>
        <v>#NAME?</v>
      </c>
      <c r="T25" s="849" t="e">
        <f t="shared" ca="1" si="9"/>
        <v>#NAME?</v>
      </c>
      <c r="U25" s="144" t="e">
        <f t="shared" ca="1" si="8"/>
        <v>#NAME?</v>
      </c>
      <c r="V25" s="849">
        <v>44.499999999999993</v>
      </c>
      <c r="W25" s="835" t="s">
        <v>373</v>
      </c>
      <c r="X25" s="834">
        <f>Q25-X$22</f>
        <v>0.17777777777777759</v>
      </c>
    </row>
    <row r="26" spans="1:24" x14ac:dyDescent="0.2">
      <c r="A26" s="828">
        <v>24</v>
      </c>
      <c r="B26" s="827">
        <v>2</v>
      </c>
      <c r="C26" s="827">
        <v>7</v>
      </c>
      <c r="D26" s="822" t="s">
        <v>372</v>
      </c>
      <c r="E26" s="826">
        <v>3.6</v>
      </c>
      <c r="F26" s="825">
        <f>F25</f>
        <v>3.65</v>
      </c>
      <c r="G26" s="825">
        <v>3.6538096695226425</v>
      </c>
      <c r="H26" s="824">
        <v>0</v>
      </c>
      <c r="I26" s="823">
        <v>1</v>
      </c>
      <c r="J26" s="822">
        <v>0</v>
      </c>
      <c r="K26" s="824">
        <f t="shared" si="1"/>
        <v>0</v>
      </c>
      <c r="L26" s="822">
        <f t="shared" si="2"/>
        <v>0</v>
      </c>
      <c r="M26" s="823">
        <f t="shared" si="3"/>
        <v>0</v>
      </c>
      <c r="N26" s="823">
        <f t="shared" si="4"/>
        <v>-0.66</v>
      </c>
      <c r="O26" s="822">
        <f t="shared" si="5"/>
        <v>-0.66</v>
      </c>
      <c r="P26" s="857" t="s">
        <v>68</v>
      </c>
      <c r="Q26" s="859">
        <v>1.0631313131313131</v>
      </c>
      <c r="R26" s="858" t="e">
        <f ca="1"/>
        <v>#NAME?</v>
      </c>
      <c r="S26" s="858" t="e">
        <f t="shared" ca="1" si="7"/>
        <v>#NAME?</v>
      </c>
      <c r="T26" s="858" t="e">
        <f t="shared" ca="1" si="9"/>
        <v>#NAME?</v>
      </c>
      <c r="U26" s="144" t="e">
        <f t="shared" ca="1" si="8"/>
        <v>#NAME?</v>
      </c>
      <c r="V26" s="858">
        <v>25.259999999999998</v>
      </c>
      <c r="W26" s="1420" t="s">
        <v>371</v>
      </c>
      <c r="X26" s="1421"/>
    </row>
    <row r="27" spans="1:24" x14ac:dyDescent="0.2">
      <c r="A27" s="843">
        <v>25</v>
      </c>
      <c r="B27" s="842">
        <v>3</v>
      </c>
      <c r="C27" s="842">
        <v>6</v>
      </c>
      <c r="D27" s="838" t="s">
        <v>2</v>
      </c>
      <c r="E27" s="841">
        <v>4.2</v>
      </c>
      <c r="F27" s="831">
        <f t="shared" ref="F27:F34" si="10">E27</f>
        <v>4.2</v>
      </c>
      <c r="G27" s="840">
        <v>4.2027512476869875</v>
      </c>
      <c r="H27" s="839">
        <v>0</v>
      </c>
      <c r="I27" s="837">
        <v>0</v>
      </c>
      <c r="J27" s="838">
        <v>1</v>
      </c>
      <c r="K27" s="839">
        <f t="shared" si="1"/>
        <v>1</v>
      </c>
      <c r="L27" s="838">
        <f t="shared" si="2"/>
        <v>-1</v>
      </c>
      <c r="M27" s="837">
        <f t="shared" si="3"/>
        <v>-1</v>
      </c>
      <c r="N27" s="837">
        <f t="shared" si="4"/>
        <v>0.33999999999999997</v>
      </c>
      <c r="O27" s="838">
        <f t="shared" si="5"/>
        <v>0.33999999999999997</v>
      </c>
      <c r="P27" s="857" t="s">
        <v>66</v>
      </c>
      <c r="Q27" s="850">
        <v>0.28872053872053871</v>
      </c>
      <c r="R27" s="849" t="e">
        <f ca="1"/>
        <v>#NAME?</v>
      </c>
      <c r="S27" s="849" t="e">
        <f t="shared" ca="1" si="7"/>
        <v>#NAME?</v>
      </c>
      <c r="T27" s="849" t="e">
        <f t="shared" ca="1" si="9"/>
        <v>#NAME?</v>
      </c>
      <c r="U27" s="144" t="e">
        <f t="shared" ca="1" si="8"/>
        <v>#NAME?</v>
      </c>
      <c r="V27" s="849">
        <v>6.8600000000000021</v>
      </c>
      <c r="W27" s="1422"/>
      <c r="X27" s="1423"/>
    </row>
    <row r="28" spans="1:24" x14ac:dyDescent="0.2">
      <c r="A28" s="833">
        <v>26</v>
      </c>
      <c r="B28" s="820">
        <v>3</v>
      </c>
      <c r="C28" s="820">
        <v>8</v>
      </c>
      <c r="D28" s="829" t="s">
        <v>2</v>
      </c>
      <c r="E28" s="832">
        <v>5.7</v>
      </c>
      <c r="F28" s="831">
        <f t="shared" si="10"/>
        <v>5.7</v>
      </c>
      <c r="G28" s="831">
        <v>5.4135256584613982</v>
      </c>
      <c r="H28" s="830">
        <v>0</v>
      </c>
      <c r="I28" s="821">
        <v>0</v>
      </c>
      <c r="J28" s="829">
        <v>1</v>
      </c>
      <c r="K28" s="830">
        <f t="shared" si="1"/>
        <v>1</v>
      </c>
      <c r="L28" s="829">
        <f t="shared" si="2"/>
        <v>1</v>
      </c>
      <c r="M28" s="821">
        <f t="shared" si="3"/>
        <v>1</v>
      </c>
      <c r="N28" s="821">
        <f t="shared" si="4"/>
        <v>0.33999999999999997</v>
      </c>
      <c r="O28" s="829">
        <f t="shared" si="5"/>
        <v>0.33999999999999997</v>
      </c>
      <c r="P28" s="848">
        <v>12</v>
      </c>
      <c r="Q28" s="856">
        <v>0.31666666666666665</v>
      </c>
      <c r="R28" s="855" t="e">
        <f ca="1"/>
        <v>#NAME?</v>
      </c>
      <c r="S28" s="855" t="e">
        <f t="shared" ca="1" si="7"/>
        <v>#NAME?</v>
      </c>
      <c r="T28" s="855" t="e">
        <f t="shared" ca="1" si="9"/>
        <v>#NAME?</v>
      </c>
      <c r="U28" s="144" t="e">
        <f t="shared" ca="1" si="8"/>
        <v>#NAME?</v>
      </c>
      <c r="V28" s="849">
        <v>3.8</v>
      </c>
    </row>
    <row r="29" spans="1:24" x14ac:dyDescent="0.2">
      <c r="A29" s="833">
        <v>27</v>
      </c>
      <c r="B29" s="820">
        <v>1</v>
      </c>
      <c r="C29" s="820">
        <v>6</v>
      </c>
      <c r="D29" s="829" t="s">
        <v>2</v>
      </c>
      <c r="E29" s="832">
        <v>2.2999999999999998</v>
      </c>
      <c r="F29" s="831">
        <f t="shared" si="10"/>
        <v>2.2999999999999998</v>
      </c>
      <c r="G29" s="831">
        <v>2.7098219547576945</v>
      </c>
      <c r="H29" s="830">
        <v>0</v>
      </c>
      <c r="I29" s="821">
        <v>0</v>
      </c>
      <c r="J29" s="829">
        <v>1</v>
      </c>
      <c r="K29" s="830">
        <f t="shared" si="1"/>
        <v>-1</v>
      </c>
      <c r="L29" s="829">
        <f t="shared" si="2"/>
        <v>-1</v>
      </c>
      <c r="M29" s="821">
        <f t="shared" si="3"/>
        <v>1</v>
      </c>
      <c r="N29" s="821">
        <f t="shared" si="4"/>
        <v>0.33999999999999997</v>
      </c>
      <c r="O29" s="829">
        <f t="shared" si="5"/>
        <v>0.33999999999999997</v>
      </c>
      <c r="P29" s="854">
        <v>11</v>
      </c>
      <c r="Q29" s="853">
        <v>5.3932068543451929E-2</v>
      </c>
      <c r="R29" s="852" t="e">
        <f ca="1"/>
        <v>#NAME?</v>
      </c>
      <c r="S29" s="852" t="e">
        <f t="shared" ca="1" si="7"/>
        <v>#NAME?</v>
      </c>
      <c r="T29" s="852" t="e">
        <f t="shared" ca="1" si="9"/>
        <v>#NAME?</v>
      </c>
      <c r="U29" s="144" t="e">
        <f t="shared" ca="1" si="8"/>
        <v>#NAME?</v>
      </c>
      <c r="V29" s="852">
        <v>0.84599999999999431</v>
      </c>
    </row>
    <row r="30" spans="1:24" x14ac:dyDescent="0.2">
      <c r="A30" s="828">
        <v>28</v>
      </c>
      <c r="B30" s="827">
        <v>1</v>
      </c>
      <c r="C30" s="827">
        <v>8</v>
      </c>
      <c r="D30" s="822" t="s">
        <v>2</v>
      </c>
      <c r="E30" s="826">
        <v>2.5</v>
      </c>
      <c r="F30" s="825">
        <f t="shared" si="10"/>
        <v>2.5</v>
      </c>
      <c r="G30" s="825">
        <v>2.6539296988654386</v>
      </c>
      <c r="H30" s="824">
        <v>0</v>
      </c>
      <c r="I30" s="823">
        <v>0</v>
      </c>
      <c r="J30" s="822">
        <v>1</v>
      </c>
      <c r="K30" s="824">
        <f t="shared" si="1"/>
        <v>-1</v>
      </c>
      <c r="L30" s="822">
        <f t="shared" si="2"/>
        <v>1</v>
      </c>
      <c r="M30" s="823">
        <f t="shared" si="3"/>
        <v>-1</v>
      </c>
      <c r="N30" s="823">
        <f t="shared" si="4"/>
        <v>0.33999999999999997</v>
      </c>
      <c r="O30" s="822">
        <f t="shared" si="5"/>
        <v>0.33999999999999997</v>
      </c>
      <c r="P30" s="851">
        <v>22</v>
      </c>
      <c r="Q30" s="850">
        <v>5.3932068543451527E-2</v>
      </c>
      <c r="R30" s="849" t="e">
        <f ca="1"/>
        <v>#NAME?</v>
      </c>
      <c r="S30" s="849" t="e">
        <f t="shared" ca="1" si="7"/>
        <v>#NAME?</v>
      </c>
      <c r="T30" s="849" t="e">
        <f t="shared" ca="1" si="9"/>
        <v>#NAME?</v>
      </c>
      <c r="U30" s="144" t="e">
        <f t="shared" ca="1" si="8"/>
        <v>#NAME?</v>
      </c>
      <c r="V30" s="849">
        <v>0.84600000000001918</v>
      </c>
    </row>
    <row r="31" spans="1:24" x14ac:dyDescent="0.2">
      <c r="A31" s="843">
        <v>29</v>
      </c>
      <c r="B31" s="820">
        <v>0.6</v>
      </c>
      <c r="C31" s="820">
        <v>7</v>
      </c>
      <c r="D31" s="838" t="s">
        <v>2</v>
      </c>
      <c r="E31" s="832">
        <v>2.7</v>
      </c>
      <c r="F31" s="840">
        <f t="shared" si="10"/>
        <v>2.7</v>
      </c>
      <c r="G31" s="841">
        <v>2.254466018817304</v>
      </c>
      <c r="H31" s="839">
        <v>0</v>
      </c>
      <c r="I31" s="837">
        <v>0</v>
      </c>
      <c r="J31" s="838">
        <v>1</v>
      </c>
      <c r="K31" s="839">
        <f t="shared" si="1"/>
        <v>-1.4</v>
      </c>
      <c r="L31" s="838">
        <f t="shared" si="2"/>
        <v>0</v>
      </c>
      <c r="M31" s="837">
        <f t="shared" si="3"/>
        <v>0</v>
      </c>
      <c r="N31" s="837">
        <f t="shared" si="4"/>
        <v>1.2999999999999998</v>
      </c>
      <c r="O31" s="838">
        <f t="shared" si="5"/>
        <v>-0.66</v>
      </c>
    </row>
    <row r="32" spans="1:24" x14ac:dyDescent="0.2">
      <c r="A32" s="833">
        <v>30</v>
      </c>
      <c r="B32" s="820">
        <v>3.4</v>
      </c>
      <c r="C32" s="820">
        <v>7</v>
      </c>
      <c r="D32" s="829" t="s">
        <v>2</v>
      </c>
      <c r="E32" s="832">
        <v>5.2</v>
      </c>
      <c r="F32" s="831">
        <f t="shared" si="10"/>
        <v>5.2</v>
      </c>
      <c r="G32" s="832">
        <v>5.2312336955849803</v>
      </c>
      <c r="H32" s="830">
        <v>0</v>
      </c>
      <c r="I32" s="821">
        <v>0</v>
      </c>
      <c r="J32" s="829">
        <v>1</v>
      </c>
      <c r="K32" s="830">
        <f t="shared" si="1"/>
        <v>1.4</v>
      </c>
      <c r="L32" s="829">
        <f t="shared" si="2"/>
        <v>0</v>
      </c>
      <c r="M32" s="821">
        <f t="shared" si="3"/>
        <v>0</v>
      </c>
      <c r="N32" s="821">
        <f t="shared" si="4"/>
        <v>1.2999999999999998</v>
      </c>
      <c r="O32" s="829">
        <f t="shared" si="5"/>
        <v>-0.66</v>
      </c>
      <c r="P32" s="1412" t="s">
        <v>27</v>
      </c>
      <c r="Q32" s="1413"/>
      <c r="R32" s="1413"/>
      <c r="S32" s="1413"/>
      <c r="T32" s="1413"/>
      <c r="U32" s="1414"/>
    </row>
    <row r="33" spans="1:21" x14ac:dyDescent="0.2">
      <c r="A33" s="833">
        <v>31</v>
      </c>
      <c r="B33" s="820">
        <v>2</v>
      </c>
      <c r="C33" s="820">
        <v>5.6</v>
      </c>
      <c r="D33" s="829" t="s">
        <v>2</v>
      </c>
      <c r="E33" s="832">
        <v>3.4</v>
      </c>
      <c r="F33" s="831">
        <f t="shared" si="10"/>
        <v>3.4</v>
      </c>
      <c r="G33" s="832">
        <v>3.3386411029923875</v>
      </c>
      <c r="H33" s="830">
        <v>0</v>
      </c>
      <c r="I33" s="821">
        <v>0</v>
      </c>
      <c r="J33" s="829">
        <v>1</v>
      </c>
      <c r="K33" s="830">
        <f t="shared" si="1"/>
        <v>0</v>
      </c>
      <c r="L33" s="829">
        <f t="shared" si="2"/>
        <v>-1.4000000000000004</v>
      </c>
      <c r="M33" s="821">
        <f t="shared" si="3"/>
        <v>0</v>
      </c>
      <c r="N33" s="821">
        <f t="shared" si="4"/>
        <v>-0.66</v>
      </c>
      <c r="O33" s="829">
        <f t="shared" si="5"/>
        <v>1.3000000000000012</v>
      </c>
      <c r="P33" s="847" t="s">
        <v>47</v>
      </c>
      <c r="Q33" s="846" t="s">
        <v>30</v>
      </c>
      <c r="R33" s="846" t="s">
        <v>31</v>
      </c>
      <c r="S33" s="845" t="s">
        <v>32</v>
      </c>
      <c r="T33" s="846" t="s">
        <v>3</v>
      </c>
      <c r="U33" s="845" t="s">
        <v>33</v>
      </c>
    </row>
    <row r="34" spans="1:21" x14ac:dyDescent="0.2">
      <c r="A34" s="828">
        <v>32</v>
      </c>
      <c r="B34" s="827">
        <v>2</v>
      </c>
      <c r="C34" s="827">
        <v>8.4</v>
      </c>
      <c r="D34" s="822" t="s">
        <v>2</v>
      </c>
      <c r="E34" s="832">
        <v>4.0999999999999996</v>
      </c>
      <c r="F34" s="825">
        <f t="shared" si="10"/>
        <v>4.0999999999999996</v>
      </c>
      <c r="G34" s="826">
        <v>4.1470586114098955</v>
      </c>
      <c r="H34" s="824">
        <v>0</v>
      </c>
      <c r="I34" s="823">
        <v>0</v>
      </c>
      <c r="J34" s="822">
        <v>1</v>
      </c>
      <c r="K34" s="824">
        <f t="shared" si="1"/>
        <v>0</v>
      </c>
      <c r="L34" s="822">
        <f t="shared" si="2"/>
        <v>1.4000000000000004</v>
      </c>
      <c r="M34" s="823">
        <f t="shared" si="3"/>
        <v>0</v>
      </c>
      <c r="N34" s="823">
        <f t="shared" si="4"/>
        <v>-0.66</v>
      </c>
      <c r="O34" s="822">
        <f t="shared" si="5"/>
        <v>1.3000000000000012</v>
      </c>
      <c r="P34" s="844" t="s">
        <v>5</v>
      </c>
      <c r="Q34" s="842">
        <f>SUMSQ(G3:G38)-24*AVERAGE(E3:E38)^2</f>
        <v>182.20333218455426</v>
      </c>
      <c r="R34" s="842">
        <f>8-1</f>
        <v>7</v>
      </c>
      <c r="S34" s="836">
        <f>Q34/R34</f>
        <v>26.029047454936322</v>
      </c>
      <c r="T34" s="842">
        <f>S34/S35</f>
        <v>358.85745865302374</v>
      </c>
      <c r="U34" s="836">
        <f>FDIST(T34,R34,R35)</f>
        <v>1.1271285130295652E-25</v>
      </c>
    </row>
    <row r="35" spans="1:21" x14ac:dyDescent="0.2">
      <c r="A35" s="843">
        <v>33</v>
      </c>
      <c r="B35" s="842">
        <v>2</v>
      </c>
      <c r="C35" s="842">
        <v>7</v>
      </c>
      <c r="D35" s="838" t="s">
        <v>2</v>
      </c>
      <c r="E35" s="841">
        <v>3.4</v>
      </c>
      <c r="F35" s="840">
        <f>AVERAGE(E35:E38)</f>
        <v>3.5999999999999996</v>
      </c>
      <c r="G35" s="831">
        <v>3.6371430028559764</v>
      </c>
      <c r="H35" s="839">
        <v>0</v>
      </c>
      <c r="I35" s="837">
        <v>0</v>
      </c>
      <c r="J35" s="838">
        <v>1</v>
      </c>
      <c r="K35" s="839">
        <f t="shared" si="1"/>
        <v>0</v>
      </c>
      <c r="L35" s="838">
        <f t="shared" si="2"/>
        <v>0</v>
      </c>
      <c r="M35" s="837">
        <f t="shared" si="3"/>
        <v>0</v>
      </c>
      <c r="N35" s="837">
        <f t="shared" si="4"/>
        <v>-0.66</v>
      </c>
      <c r="O35" s="838">
        <f t="shared" si="5"/>
        <v>-0.66</v>
      </c>
      <c r="P35" s="835" t="s">
        <v>6</v>
      </c>
      <c r="Q35" s="827">
        <f>SUMSQ(E3:E38)-SUMSQ(G3:G38)</f>
        <v>2.0309270747048913</v>
      </c>
      <c r="R35" s="827">
        <f>36-8</f>
        <v>28</v>
      </c>
      <c r="S35" s="834">
        <f>Q35/R35</f>
        <v>7.2533109810888979E-2</v>
      </c>
      <c r="T35" s="837" t="s">
        <v>191</v>
      </c>
      <c r="U35" s="836">
        <f>SQRT(S35)</f>
        <v>0.26931971671396243</v>
      </c>
    </row>
    <row r="36" spans="1:21" ht="18" x14ac:dyDescent="0.2">
      <c r="A36" s="833">
        <v>34</v>
      </c>
      <c r="B36" s="820">
        <v>2</v>
      </c>
      <c r="C36" s="820">
        <v>7</v>
      </c>
      <c r="D36" s="829" t="s">
        <v>2</v>
      </c>
      <c r="E36" s="832">
        <v>3.8</v>
      </c>
      <c r="F36" s="831">
        <f>F35</f>
        <v>3.5999999999999996</v>
      </c>
      <c r="G36" s="831">
        <v>3.6371430028559764</v>
      </c>
      <c r="H36" s="830">
        <v>0</v>
      </c>
      <c r="I36" s="821">
        <v>0</v>
      </c>
      <c r="J36" s="829">
        <v>1</v>
      </c>
      <c r="K36" s="830">
        <f t="shared" si="1"/>
        <v>0</v>
      </c>
      <c r="L36" s="829">
        <f t="shared" si="2"/>
        <v>0</v>
      </c>
      <c r="M36" s="821">
        <f t="shared" si="3"/>
        <v>0</v>
      </c>
      <c r="N36" s="821">
        <f t="shared" si="4"/>
        <v>-0.66</v>
      </c>
      <c r="O36" s="829">
        <f t="shared" si="5"/>
        <v>-0.66</v>
      </c>
      <c r="P36" s="835" t="s">
        <v>7</v>
      </c>
      <c r="Q36" s="827">
        <f>SUMSQ(E3:E38)-24*AVERAGE(E3:E38)^2</f>
        <v>184.23425925925915</v>
      </c>
      <c r="R36" s="827">
        <f>36-1</f>
        <v>35</v>
      </c>
      <c r="S36" s="827">
        <f>Q36/R36</f>
        <v>5.2638359788359752</v>
      </c>
      <c r="T36" s="824" t="s">
        <v>370</v>
      </c>
      <c r="U36" s="834">
        <f>Q34/Q36</f>
        <v>0.98897638754664563</v>
      </c>
    </row>
    <row r="37" spans="1:21" x14ac:dyDescent="0.2">
      <c r="A37" s="833">
        <v>35</v>
      </c>
      <c r="B37" s="820">
        <v>2</v>
      </c>
      <c r="C37" s="820">
        <v>7</v>
      </c>
      <c r="D37" s="829" t="s">
        <v>2</v>
      </c>
      <c r="E37" s="832">
        <v>3.7</v>
      </c>
      <c r="F37" s="831">
        <f>F36</f>
        <v>3.5999999999999996</v>
      </c>
      <c r="G37" s="831">
        <v>3.6371430028559764</v>
      </c>
      <c r="H37" s="830">
        <v>0</v>
      </c>
      <c r="I37" s="821">
        <v>0</v>
      </c>
      <c r="J37" s="829">
        <v>1</v>
      </c>
      <c r="K37" s="830">
        <f t="shared" si="1"/>
        <v>0</v>
      </c>
      <c r="L37" s="829">
        <f t="shared" si="2"/>
        <v>0</v>
      </c>
      <c r="M37" s="821">
        <f t="shared" si="3"/>
        <v>0</v>
      </c>
      <c r="N37" s="821">
        <f t="shared" si="4"/>
        <v>-0.66</v>
      </c>
      <c r="O37" s="829">
        <f t="shared" si="5"/>
        <v>-0.66</v>
      </c>
      <c r="P37" s="821" t="s">
        <v>1</v>
      </c>
      <c r="Q37" s="820">
        <f>Q35-Q38</f>
        <v>1.2334270747048777</v>
      </c>
      <c r="R37" s="820">
        <f>R35-R38</f>
        <v>19</v>
      </c>
      <c r="S37" s="820">
        <f>Q37/R37</f>
        <v>6.4917214458151462E-2</v>
      </c>
      <c r="T37" s="820">
        <f>S37/S38</f>
        <v>0.73260806285059954</v>
      </c>
      <c r="U37" s="820">
        <f>FDIST(T37,R37,R38)</f>
        <v>0.72951471591422901</v>
      </c>
    </row>
    <row r="38" spans="1:21" x14ac:dyDescent="0.2">
      <c r="A38" s="828">
        <v>36</v>
      </c>
      <c r="B38" s="827">
        <v>2</v>
      </c>
      <c r="C38" s="827">
        <v>7</v>
      </c>
      <c r="D38" s="822" t="s">
        <v>2</v>
      </c>
      <c r="E38" s="826">
        <v>3.5</v>
      </c>
      <c r="F38" s="825">
        <f>F37</f>
        <v>3.5999999999999996</v>
      </c>
      <c r="G38" s="825">
        <v>3.6371430028559764</v>
      </c>
      <c r="H38" s="824">
        <v>0</v>
      </c>
      <c r="I38" s="823">
        <v>0</v>
      </c>
      <c r="J38" s="822">
        <v>1</v>
      </c>
      <c r="K38" s="824">
        <f t="shared" si="1"/>
        <v>0</v>
      </c>
      <c r="L38" s="822">
        <f t="shared" si="2"/>
        <v>0</v>
      </c>
      <c r="M38" s="823">
        <f t="shared" si="3"/>
        <v>0</v>
      </c>
      <c r="N38" s="823">
        <f t="shared" si="4"/>
        <v>-0.66</v>
      </c>
      <c r="O38" s="822">
        <f t="shared" si="5"/>
        <v>-0.66</v>
      </c>
      <c r="Q38" s="820">
        <f>SUMSQ(E3:E38)-SUMSQ(F3:F38)</f>
        <v>0.79750000000001364</v>
      </c>
      <c r="R38" s="820">
        <v>9</v>
      </c>
      <c r="S38" s="820">
        <f>Q38/R38</f>
        <v>8.8611111111112625E-2</v>
      </c>
      <c r="U38" s="820">
        <f>SQRT(S38)</f>
        <v>0.29767618499153176</v>
      </c>
    </row>
  </sheetData>
  <mergeCells count="6">
    <mergeCell ref="P32:U32"/>
    <mergeCell ref="A1:E1"/>
    <mergeCell ref="H1:O1"/>
    <mergeCell ref="P1:X1"/>
    <mergeCell ref="P11:X11"/>
    <mergeCell ref="W26:X27"/>
  </mergeCells>
  <conditionalFormatting sqref="Q3:X10 V23:V30">
    <cfRule type="cellIs" dxfId="58" priority="2" operator="between">
      <formula>-0.0001</formula>
      <formula>0.0001</formula>
    </cfRule>
  </conditionalFormatting>
  <conditionalFormatting sqref="Q13:X20">
    <cfRule type="cellIs" dxfId="57" priority="1" operator="between">
      <formula>-0.0001</formula>
      <formula>0.0001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7A5FA-98BA-4D2B-BF45-E47E4E5B7C3E}">
  <dimension ref="A1:R24"/>
  <sheetViews>
    <sheetView zoomScaleNormal="100" workbookViewId="0">
      <selection activeCell="B20" sqref="B20"/>
    </sheetView>
  </sheetViews>
  <sheetFormatPr baseColWidth="10" defaultColWidth="6.83203125" defaultRowHeight="16" x14ac:dyDescent="0.2"/>
  <cols>
    <col min="1" max="1" width="6.83203125" style="1" customWidth="1"/>
    <col min="2" max="2" width="6.83203125" style="485" customWidth="1"/>
    <col min="3" max="6" width="6.83203125" style="1" customWidth="1"/>
    <col min="7" max="8" width="6.83203125" style="1"/>
    <col min="9" max="12" width="6.83203125" style="1" customWidth="1"/>
    <col min="13" max="16384" width="6.83203125" style="1"/>
  </cols>
  <sheetData>
    <row r="1" spans="1:18" x14ac:dyDescent="0.2">
      <c r="A1" s="1357" t="s">
        <v>322</v>
      </c>
      <c r="B1" s="1358"/>
      <c r="C1" s="1358"/>
      <c r="D1" s="1348"/>
      <c r="E1" s="1427" t="s">
        <v>321</v>
      </c>
      <c r="F1" s="1428"/>
      <c r="G1" s="1357" t="s">
        <v>320</v>
      </c>
      <c r="H1" s="1358"/>
      <c r="I1" s="1358"/>
      <c r="J1" s="1348"/>
      <c r="K1" s="1427" t="s">
        <v>319</v>
      </c>
      <c r="L1" s="1428"/>
      <c r="M1" s="1357" t="s">
        <v>318</v>
      </c>
      <c r="N1" s="1358"/>
      <c r="O1" s="1358"/>
      <c r="P1" s="1348"/>
      <c r="Q1" s="1427" t="s">
        <v>317</v>
      </c>
      <c r="R1" s="1428"/>
    </row>
    <row r="2" spans="1:18" x14ac:dyDescent="0.2">
      <c r="A2" s="725" t="s">
        <v>316</v>
      </c>
      <c r="B2" s="767" t="s">
        <v>315</v>
      </c>
      <c r="C2" s="764" t="s">
        <v>219</v>
      </c>
      <c r="D2" s="763" t="s">
        <v>48</v>
      </c>
      <c r="E2" s="1429"/>
      <c r="F2" s="1430"/>
      <c r="G2" s="725" t="s">
        <v>316</v>
      </c>
      <c r="H2" s="766" t="s">
        <v>315</v>
      </c>
      <c r="I2" s="764" t="s">
        <v>219</v>
      </c>
      <c r="J2" s="763" t="s">
        <v>48</v>
      </c>
      <c r="K2" s="1429"/>
      <c r="L2" s="1430"/>
      <c r="M2" s="725" t="s">
        <v>316</v>
      </c>
      <c r="N2" s="765" t="s">
        <v>315</v>
      </c>
      <c r="O2" s="764" t="s">
        <v>219</v>
      </c>
      <c r="P2" s="763" t="s">
        <v>48</v>
      </c>
      <c r="Q2" s="1429"/>
      <c r="R2" s="1430"/>
    </row>
    <row r="3" spans="1:18" x14ac:dyDescent="0.2">
      <c r="A3" s="762">
        <v>11</v>
      </c>
      <c r="B3" s="761">
        <v>3</v>
      </c>
      <c r="C3" s="760">
        <v>21.7</v>
      </c>
      <c r="D3" s="729">
        <f t="array" ref="D3:D9">MMULT(E3:F9,F16:F17)</f>
        <v>22.346428571428572</v>
      </c>
      <c r="E3" s="89">
        <v>1</v>
      </c>
      <c r="F3" s="475">
        <f>B3</f>
        <v>3</v>
      </c>
      <c r="G3" s="762">
        <v>11</v>
      </c>
      <c r="H3" s="761">
        <v>2</v>
      </c>
      <c r="I3" s="760">
        <v>21.7</v>
      </c>
      <c r="J3" s="729">
        <f t="array" ref="J3:J9">MMULT(K3:L9,L16:L17)</f>
        <v>31.014285714285712</v>
      </c>
      <c r="K3" s="87">
        <v>1</v>
      </c>
      <c r="L3" s="41">
        <v>2</v>
      </c>
      <c r="M3" s="762">
        <v>11</v>
      </c>
      <c r="N3" s="761">
        <v>3</v>
      </c>
      <c r="O3" s="760">
        <v>21.7</v>
      </c>
      <c r="P3" s="729">
        <f t="array" ref="P3:P9">MMULT(Q3:R9,R16:R17)</f>
        <v>22.346428571428572</v>
      </c>
      <c r="Q3" s="87">
        <v>1</v>
      </c>
      <c r="R3" s="41">
        <f>N3</f>
        <v>3</v>
      </c>
    </row>
    <row r="4" spans="1:18" x14ac:dyDescent="0.2">
      <c r="A4" s="762">
        <v>13</v>
      </c>
      <c r="B4" s="761">
        <v>2</v>
      </c>
      <c r="C4" s="760">
        <v>25.6</v>
      </c>
      <c r="D4" s="729">
        <v>25.935714285714287</v>
      </c>
      <c r="E4" s="89">
        <v>1</v>
      </c>
      <c r="F4" s="475">
        <f>B4</f>
        <v>2</v>
      </c>
      <c r="G4" s="762">
        <v>13</v>
      </c>
      <c r="H4" s="761">
        <v>-1</v>
      </c>
      <c r="I4" s="760">
        <v>25.6</v>
      </c>
      <c r="J4" s="729">
        <v>34.164285714285711</v>
      </c>
      <c r="K4" s="89">
        <v>1</v>
      </c>
      <c r="L4" s="475">
        <v>-1</v>
      </c>
      <c r="M4" s="762">
        <v>13</v>
      </c>
      <c r="N4" s="761">
        <v>2</v>
      </c>
      <c r="O4" s="760">
        <v>25.6</v>
      </c>
      <c r="P4" s="729">
        <v>25.935714285714287</v>
      </c>
      <c r="Q4" s="89">
        <v>1</v>
      </c>
      <c r="R4" s="475">
        <f>N4</f>
        <v>2</v>
      </c>
    </row>
    <row r="5" spans="1:18" x14ac:dyDescent="0.2">
      <c r="A5" s="762">
        <v>15</v>
      </c>
      <c r="B5" s="761">
        <v>1</v>
      </c>
      <c r="C5" s="760">
        <v>30</v>
      </c>
      <c r="D5" s="729">
        <v>29.524999999999999</v>
      </c>
      <c r="E5" s="89">
        <v>1</v>
      </c>
      <c r="F5" s="475">
        <f>B5</f>
        <v>1</v>
      </c>
      <c r="G5" s="762">
        <v>15</v>
      </c>
      <c r="H5" s="761">
        <v>1</v>
      </c>
      <c r="I5" s="760">
        <v>30</v>
      </c>
      <c r="J5" s="729">
        <v>32.064285714285717</v>
      </c>
      <c r="K5" s="89">
        <v>1</v>
      </c>
      <c r="L5" s="475">
        <v>1</v>
      </c>
      <c r="M5" s="762">
        <v>15</v>
      </c>
      <c r="N5" s="761">
        <v>1</v>
      </c>
      <c r="O5" s="760">
        <v>30</v>
      </c>
      <c r="P5" s="729">
        <v>29.524999999999999</v>
      </c>
      <c r="Q5" s="89">
        <v>1</v>
      </c>
      <c r="R5" s="475">
        <f>N5</f>
        <v>1</v>
      </c>
    </row>
    <row r="6" spans="1:18" x14ac:dyDescent="0.2">
      <c r="A6" s="762">
        <v>17</v>
      </c>
      <c r="B6" s="761">
        <v>0</v>
      </c>
      <c r="C6" s="760">
        <v>33.799999999999997</v>
      </c>
      <c r="D6" s="729">
        <v>33.114285714285714</v>
      </c>
      <c r="E6" s="89">
        <v>1</v>
      </c>
      <c r="F6" s="475">
        <f>B6</f>
        <v>0</v>
      </c>
      <c r="G6" s="762">
        <v>17</v>
      </c>
      <c r="H6" s="761">
        <v>-2</v>
      </c>
      <c r="I6" s="760">
        <v>33.799999999999997</v>
      </c>
      <c r="J6" s="729">
        <v>35.214285714285715</v>
      </c>
      <c r="K6" s="89">
        <v>1</v>
      </c>
      <c r="L6" s="475">
        <v>-2</v>
      </c>
      <c r="M6" s="762">
        <v>17</v>
      </c>
      <c r="N6" s="761">
        <v>0</v>
      </c>
      <c r="O6" s="760">
        <v>33.799999999999997</v>
      </c>
      <c r="P6" s="729">
        <v>33.114285714285714</v>
      </c>
      <c r="Q6" s="89">
        <v>1</v>
      </c>
      <c r="R6" s="475">
        <f>N6</f>
        <v>0</v>
      </c>
    </row>
    <row r="7" spans="1:18" x14ac:dyDescent="0.2">
      <c r="A7" s="762">
        <v>19</v>
      </c>
      <c r="B7" s="761">
        <v>-1</v>
      </c>
      <c r="C7" s="760">
        <v>37.700000000000003</v>
      </c>
      <c r="D7" s="729">
        <v>36.703571428571429</v>
      </c>
      <c r="E7" s="89">
        <v>1</v>
      </c>
      <c r="F7" s="475">
        <v>-1</v>
      </c>
      <c r="G7" s="762">
        <v>19</v>
      </c>
      <c r="H7" s="761">
        <v>0</v>
      </c>
      <c r="I7" s="760">
        <v>37.700000000000003</v>
      </c>
      <c r="J7" s="729">
        <v>33.114285714285714</v>
      </c>
      <c r="K7" s="89">
        <v>1</v>
      </c>
      <c r="L7" s="475">
        <v>0</v>
      </c>
      <c r="M7" s="762">
        <v>19</v>
      </c>
      <c r="N7" s="761">
        <v>-1</v>
      </c>
      <c r="O7" s="760">
        <v>37.700000000000003</v>
      </c>
      <c r="P7" s="729">
        <v>36.703571428571429</v>
      </c>
      <c r="Q7" s="89">
        <v>1</v>
      </c>
      <c r="R7" s="475">
        <v>-1</v>
      </c>
    </row>
    <row r="8" spans="1:18" x14ac:dyDescent="0.2">
      <c r="A8" s="762">
        <v>20</v>
      </c>
      <c r="B8" s="761">
        <v>-2</v>
      </c>
      <c r="C8" s="760">
        <v>39.9</v>
      </c>
      <c r="D8" s="729">
        <v>40.292857142857144</v>
      </c>
      <c r="E8" s="89">
        <v>1</v>
      </c>
      <c r="F8" s="475">
        <v>-2</v>
      </c>
      <c r="G8" s="762">
        <v>20</v>
      </c>
      <c r="H8" s="761">
        <v>3</v>
      </c>
      <c r="I8" s="760">
        <v>39.9</v>
      </c>
      <c r="J8" s="729">
        <v>29.964285714285712</v>
      </c>
      <c r="K8" s="89">
        <v>1</v>
      </c>
      <c r="L8" s="475">
        <v>3</v>
      </c>
      <c r="M8" s="762">
        <v>20</v>
      </c>
      <c r="N8" s="761">
        <v>-2</v>
      </c>
      <c r="O8" s="760">
        <v>39.9</v>
      </c>
      <c r="P8" s="729">
        <v>40.292857142857144</v>
      </c>
      <c r="Q8" s="89">
        <v>1</v>
      </c>
      <c r="R8" s="475">
        <v>-2</v>
      </c>
    </row>
    <row r="9" spans="1:18" x14ac:dyDescent="0.2">
      <c r="A9" s="759">
        <v>22</v>
      </c>
      <c r="B9" s="758">
        <v>-3</v>
      </c>
      <c r="C9" s="757">
        <v>43.1</v>
      </c>
      <c r="D9" s="756">
        <v>43.882142857142853</v>
      </c>
      <c r="E9" s="75">
        <v>1</v>
      </c>
      <c r="F9" s="97">
        <v>-3</v>
      </c>
      <c r="G9" s="759">
        <v>22</v>
      </c>
      <c r="H9" s="758">
        <v>-3</v>
      </c>
      <c r="I9" s="757">
        <v>43.1</v>
      </c>
      <c r="J9" s="756">
        <v>36.26428571428572</v>
      </c>
      <c r="K9" s="75">
        <v>1</v>
      </c>
      <c r="L9" s="97">
        <v>-3</v>
      </c>
      <c r="M9" s="759">
        <v>22</v>
      </c>
      <c r="N9" s="758">
        <v>-3</v>
      </c>
      <c r="O9" s="757">
        <v>43.1</v>
      </c>
      <c r="P9" s="756">
        <v>43.882142857142853</v>
      </c>
      <c r="Q9" s="75">
        <v>1</v>
      </c>
      <c r="R9" s="97">
        <v>-3</v>
      </c>
    </row>
    <row r="10" spans="1:18" x14ac:dyDescent="0.2">
      <c r="A10" s="1424" t="s">
        <v>314</v>
      </c>
      <c r="B10" s="1425"/>
      <c r="C10" s="1425"/>
      <c r="D10" s="1425"/>
      <c r="E10" s="1425"/>
      <c r="F10" s="1426"/>
      <c r="G10" s="1424" t="s">
        <v>313</v>
      </c>
      <c r="H10" s="1425"/>
      <c r="I10" s="1425"/>
      <c r="J10" s="1425"/>
      <c r="K10" s="1425"/>
      <c r="L10" s="1426"/>
      <c r="M10" s="1424" t="s">
        <v>312</v>
      </c>
      <c r="N10" s="1425"/>
      <c r="O10" s="1425"/>
      <c r="P10" s="1425"/>
      <c r="Q10" s="1425"/>
      <c r="R10" s="1426"/>
    </row>
    <row r="11" spans="1:18" x14ac:dyDescent="0.2">
      <c r="A11" s="68"/>
      <c r="B11" s="755" t="s">
        <v>30</v>
      </c>
      <c r="C11" s="454" t="s">
        <v>31</v>
      </c>
      <c r="D11" s="464" t="s">
        <v>32</v>
      </c>
      <c r="E11" s="524" t="s">
        <v>3</v>
      </c>
      <c r="F11" s="454" t="s">
        <v>33</v>
      </c>
      <c r="G11" s="68"/>
      <c r="H11" s="755" t="s">
        <v>30</v>
      </c>
      <c r="I11" s="454" t="s">
        <v>31</v>
      </c>
      <c r="J11" s="464" t="s">
        <v>32</v>
      </c>
      <c r="K11" s="524" t="s">
        <v>3</v>
      </c>
      <c r="L11" s="454" t="s">
        <v>33</v>
      </c>
      <c r="M11" s="68"/>
      <c r="N11" s="755" t="s">
        <v>30</v>
      </c>
      <c r="O11" s="454" t="s">
        <v>31</v>
      </c>
      <c r="P11" s="464" t="s">
        <v>32</v>
      </c>
      <c r="Q11" s="524" t="s">
        <v>3</v>
      </c>
      <c r="R11" s="454" t="s">
        <v>33</v>
      </c>
    </row>
    <row r="12" spans="1:18" x14ac:dyDescent="0.2">
      <c r="A12" s="518" t="s">
        <v>5</v>
      </c>
      <c r="B12" s="754">
        <f>SUMSQ(D3:D9)-COUNT(E3:E9)*AVERAGE(C3:C9)^2</f>
        <v>360.72321428571468</v>
      </c>
      <c r="C12" s="80">
        <f>COUNT(E3:F3)-1</f>
        <v>1</v>
      </c>
      <c r="D12" s="88">
        <f>B12/C12</f>
        <v>360.72321428571468</v>
      </c>
      <c r="E12" s="74">
        <f>D12/D13</f>
        <v>604.15420504855558</v>
      </c>
      <c r="F12" s="80">
        <f>FDIST(E12,C12,C13)</f>
        <v>2.0785626266927455E-6</v>
      </c>
      <c r="G12" s="518" t="s">
        <v>5</v>
      </c>
      <c r="H12" s="754">
        <f>SUMSQ(J3:J9)-COUNT(K3:K9)*AVERAGE(I3:I9)^2</f>
        <v>30.869999999998981</v>
      </c>
      <c r="I12" s="80">
        <f>COUNT(K3:L3)-1</f>
        <v>1</v>
      </c>
      <c r="J12" s="88">
        <f>H12/I12</f>
        <v>30.869999999998981</v>
      </c>
      <c r="K12" s="74">
        <f>J12/J13</f>
        <v>0.46373832016376948</v>
      </c>
      <c r="L12" s="80">
        <f>FDIST(K12,I12,I13)</f>
        <v>0.52613470964808828</v>
      </c>
      <c r="M12" s="518" t="s">
        <v>5</v>
      </c>
      <c r="N12" s="754">
        <f>SUMSQ(P3:P9)-COUNT(Q3:Q9)*AVERAGE(O3:O9)^2</f>
        <v>360.72321428571468</v>
      </c>
      <c r="O12" s="80">
        <f>COUNT(Q3:R3)-1</f>
        <v>1</v>
      </c>
      <c r="P12" s="88">
        <f>N12/O12</f>
        <v>360.72321428571468</v>
      </c>
      <c r="Q12" s="74">
        <f>P12/P13</f>
        <v>604.15420504855558</v>
      </c>
      <c r="R12" s="80">
        <f>FDIST(Q12,O12,O13)</f>
        <v>2.0785626266927455E-6</v>
      </c>
    </row>
    <row r="13" spans="1:18" x14ac:dyDescent="0.2">
      <c r="A13" s="515" t="s">
        <v>6</v>
      </c>
      <c r="B13" s="753">
        <f>SUMSQ(C3:C9)-SUMSQ(D3:D9)</f>
        <v>2.9853571428566283</v>
      </c>
      <c r="C13" s="77">
        <f>COUNT(E3:E9)-COUNT(E3:F3)</f>
        <v>5</v>
      </c>
      <c r="D13" s="77">
        <f>B13/C13</f>
        <v>0.59707142857132567</v>
      </c>
      <c r="E13" s="472" t="s">
        <v>262</v>
      </c>
      <c r="F13" s="80">
        <f>SQRT(D13)</f>
        <v>0.77270397214672426</v>
      </c>
      <c r="G13" s="515" t="s">
        <v>6</v>
      </c>
      <c r="H13" s="753">
        <f>SUMSQ(I3:I9)-SUMSQ(J3:J9)</f>
        <v>332.83857142857232</v>
      </c>
      <c r="I13" s="77">
        <f>COUNT(K3:K9)-COUNT(K3:L3)</f>
        <v>5</v>
      </c>
      <c r="J13" s="77">
        <f>H13/I13</f>
        <v>66.567714285714459</v>
      </c>
      <c r="K13" s="472" t="s">
        <v>262</v>
      </c>
      <c r="L13" s="80">
        <f>SQRT(J13)</f>
        <v>8.1589039880191301</v>
      </c>
      <c r="M13" s="515" t="s">
        <v>6</v>
      </c>
      <c r="N13" s="753">
        <f>SUMSQ(O3:O9)-SUMSQ(P3:P9)</f>
        <v>2.9853571428566283</v>
      </c>
      <c r="O13" s="77">
        <f>COUNT(Q3:Q9)-COUNT(Q3:R3)</f>
        <v>5</v>
      </c>
      <c r="P13" s="77">
        <f>N13/O13</f>
        <v>0.59707142857132567</v>
      </c>
      <c r="Q13" s="472" t="s">
        <v>262</v>
      </c>
      <c r="R13" s="80">
        <f>SQRT(P13)</f>
        <v>0.77270397214672426</v>
      </c>
    </row>
    <row r="14" spans="1:18" ht="18" x14ac:dyDescent="0.2">
      <c r="A14" s="631" t="s">
        <v>7</v>
      </c>
      <c r="B14" s="753">
        <f>SUMSQ(C3:C9)-COUNT(C3:C9)*AVERAGE(C3:C9)^2</f>
        <v>363.7085714285713</v>
      </c>
      <c r="C14" s="77">
        <f>COUNT(E3:E9)-1</f>
        <v>6</v>
      </c>
      <c r="D14" s="76"/>
      <c r="E14" s="127" t="s">
        <v>261</v>
      </c>
      <c r="F14" s="77">
        <f>B12/B14</f>
        <v>0.9917918977517336</v>
      </c>
      <c r="G14" s="631" t="s">
        <v>7</v>
      </c>
      <c r="H14" s="753">
        <f>SUMSQ(I3:I9)-COUNT(I3:I9)*AVERAGE(I3:I9)^2</f>
        <v>363.7085714285713</v>
      </c>
      <c r="I14" s="77">
        <f>COUNT(K3:K9)-1</f>
        <v>6</v>
      </c>
      <c r="J14" s="76"/>
      <c r="K14" s="127" t="s">
        <v>261</v>
      </c>
      <c r="L14" s="77">
        <f>H12/H14</f>
        <v>8.4875646121695916E-2</v>
      </c>
      <c r="M14" s="631" t="s">
        <v>7</v>
      </c>
      <c r="N14" s="753">
        <f>SUMSQ(O3:O9)-COUNT(O3:O9)*AVERAGE(O3:O9)^2</f>
        <v>363.7085714285713</v>
      </c>
      <c r="O14" s="77">
        <f>COUNT(Q3:Q9)-1</f>
        <v>6</v>
      </c>
      <c r="P14" s="76"/>
      <c r="Q14" s="127" t="s">
        <v>261</v>
      </c>
      <c r="R14" s="77">
        <f>N12/N14</f>
        <v>0.9917918977517336</v>
      </c>
    </row>
    <row r="15" spans="1:18" customFormat="1" ht="18" x14ac:dyDescent="0.2">
      <c r="A15" s="1357" t="s">
        <v>35</v>
      </c>
      <c r="B15" s="1348"/>
      <c r="C15" s="1357" t="s">
        <v>40</v>
      </c>
      <c r="D15" s="1348"/>
      <c r="E15" s="524" t="s">
        <v>34</v>
      </c>
      <c r="F15" s="524" t="s">
        <v>39</v>
      </c>
      <c r="G15" s="1357" t="s">
        <v>35</v>
      </c>
      <c r="H15" s="1359"/>
      <c r="I15" s="1357" t="s">
        <v>40</v>
      </c>
      <c r="J15" s="1359"/>
      <c r="K15" s="524" t="s">
        <v>34</v>
      </c>
      <c r="L15" s="524" t="s">
        <v>39</v>
      </c>
      <c r="M15" s="1371" t="s">
        <v>35</v>
      </c>
      <c r="N15" s="1409"/>
      <c r="O15" s="1357" t="s">
        <v>40</v>
      </c>
      <c r="P15" s="1348"/>
      <c r="Q15" s="524" t="s">
        <v>34</v>
      </c>
      <c r="R15" s="524" t="s">
        <v>39</v>
      </c>
    </row>
    <row r="16" spans="1:18" customFormat="1" x14ac:dyDescent="0.2">
      <c r="A16" s="752">
        <f t="array" ref="A16:B17">MMULT(TRANSPOSE(E3:F9),E3:F9)</f>
        <v>7</v>
      </c>
      <c r="B16" s="751">
        <v>0</v>
      </c>
      <c r="C16" s="89">
        <f t="array" ref="C16:D17">MINVERSE(A16:B17)</f>
        <v>0.14285714285714285</v>
      </c>
      <c r="D16" s="475">
        <v>0</v>
      </c>
      <c r="E16" s="118">
        <f t="array" ref="E16:E17">MMULT(TRANSPOSE(E3:F9),C3:C9)</f>
        <v>231.8</v>
      </c>
      <c r="F16" s="118">
        <f t="array" ref="F16:F17">MMULT(C16:D17,E16:E17)</f>
        <v>33.114285714285714</v>
      </c>
      <c r="G16" s="752">
        <f t="array" ref="G16:H17">MMULT(TRANSPOSE(K3:L9),K3:L9)</f>
        <v>7</v>
      </c>
      <c r="H16" s="751">
        <v>0</v>
      </c>
      <c r="I16" s="89">
        <f t="array" ref="I16:J17">MINVERSE(G16:H17)</f>
        <v>0.14285714285714285</v>
      </c>
      <c r="J16" s="475">
        <v>0</v>
      </c>
      <c r="K16" s="118">
        <f t="array" ref="K16:K17">MMULT(TRANSPOSE(K3:L9),I3:I9)</f>
        <v>231.8</v>
      </c>
      <c r="L16" s="118">
        <f t="array" ref="L16:L17">MMULT(I16:J17,K16:K17)</f>
        <v>33.114285714285714</v>
      </c>
      <c r="M16" s="81">
        <f t="array" ref="M16:N17">MMULT(TRANSPOSE(Q3:R9),Q3:R9)</f>
        <v>7</v>
      </c>
      <c r="N16" s="80">
        <v>0</v>
      </c>
      <c r="O16" s="89">
        <f t="array" ref="O16:P17">MINVERSE(M16:N17)</f>
        <v>0.14285714285714285</v>
      </c>
      <c r="P16" s="475">
        <v>0</v>
      </c>
      <c r="Q16" s="118">
        <f t="array" ref="Q16:Q17">MMULT(TRANSPOSE(Q3:R9),O3:O9)</f>
        <v>231.8</v>
      </c>
      <c r="R16" s="118">
        <f t="array" ref="R16:R17">MMULT(O16:P17,Q16:Q17)</f>
        <v>33.114285714285714</v>
      </c>
    </row>
    <row r="17" spans="1:18" customFormat="1" x14ac:dyDescent="0.2">
      <c r="A17" s="750">
        <v>0</v>
      </c>
      <c r="B17" s="749">
        <v>28</v>
      </c>
      <c r="C17" s="75">
        <v>0</v>
      </c>
      <c r="D17" s="97">
        <v>3.5714285714285712E-2</v>
      </c>
      <c r="E17" s="92">
        <v>-100.5</v>
      </c>
      <c r="F17" s="92">
        <v>-3.589285714285714</v>
      </c>
      <c r="G17" s="750">
        <v>0</v>
      </c>
      <c r="H17" s="749">
        <v>28</v>
      </c>
      <c r="I17" s="75">
        <v>0</v>
      </c>
      <c r="J17" s="97">
        <v>3.5714285714285712E-2</v>
      </c>
      <c r="K17" s="92">
        <v>-29.40000000000002</v>
      </c>
      <c r="L17" s="92">
        <v>-1.0500000000000007</v>
      </c>
      <c r="M17" s="106">
        <v>0</v>
      </c>
      <c r="N17" s="77">
        <v>28</v>
      </c>
      <c r="O17" s="75">
        <v>0</v>
      </c>
      <c r="P17" s="97">
        <v>3.5714285714285712E-2</v>
      </c>
      <c r="Q17" s="92">
        <v>-100.5</v>
      </c>
      <c r="R17" s="92">
        <v>-3.589285714285714</v>
      </c>
    </row>
    <row r="18" spans="1:18" customFormat="1" x14ac:dyDescent="0.2">
      <c r="A18" s="1"/>
      <c r="B18" s="485"/>
    </row>
    <row r="19" spans="1:18" customFormat="1" x14ac:dyDescent="0.2">
      <c r="A19" s="1"/>
      <c r="B19" s="485"/>
    </row>
    <row r="20" spans="1:18" customFormat="1" x14ac:dyDescent="0.2">
      <c r="A20" s="1"/>
      <c r="B20" s="485"/>
    </row>
    <row r="21" spans="1:18" customFormat="1" x14ac:dyDescent="0.2">
      <c r="A21" s="1"/>
      <c r="B21" s="485"/>
    </row>
    <row r="22" spans="1:18" customFormat="1" x14ac:dyDescent="0.2">
      <c r="A22" s="1"/>
      <c r="B22" s="485"/>
    </row>
    <row r="23" spans="1:18" customFormat="1" x14ac:dyDescent="0.2">
      <c r="A23" s="1"/>
      <c r="B23" s="485"/>
    </row>
    <row r="24" spans="1:18" customFormat="1" x14ac:dyDescent="0.2"/>
  </sheetData>
  <mergeCells count="15">
    <mergeCell ref="A10:F10"/>
    <mergeCell ref="G10:L10"/>
    <mergeCell ref="M10:R10"/>
    <mergeCell ref="E1:F2"/>
    <mergeCell ref="C15:D15"/>
    <mergeCell ref="A15:B15"/>
    <mergeCell ref="G15:H15"/>
    <mergeCell ref="I15:J15"/>
    <mergeCell ref="A1:D1"/>
    <mergeCell ref="G1:J1"/>
    <mergeCell ref="K1:L2"/>
    <mergeCell ref="Q1:R2"/>
    <mergeCell ref="M1:P1"/>
    <mergeCell ref="M15:N15"/>
    <mergeCell ref="O15:P1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E107A-9BF8-4877-A57A-B85F6580050E}">
  <dimension ref="B2:O12"/>
  <sheetViews>
    <sheetView showGridLines="0" zoomScaleNormal="100" workbookViewId="0">
      <selection activeCell="E4" sqref="E4"/>
    </sheetView>
  </sheetViews>
  <sheetFormatPr baseColWidth="10" defaultColWidth="6.83203125" defaultRowHeight="16" x14ac:dyDescent="0.2"/>
  <cols>
    <col min="5" max="5" width="6.83203125" customWidth="1"/>
  </cols>
  <sheetData>
    <row r="2" spans="2:15" x14ac:dyDescent="0.2">
      <c r="B2" s="1131">
        <v>1</v>
      </c>
      <c r="C2">
        <v>2</v>
      </c>
      <c r="D2" s="1130">
        <v>3</v>
      </c>
    </row>
    <row r="3" spans="2:15" x14ac:dyDescent="0.2">
      <c r="B3" s="1131">
        <v>4</v>
      </c>
      <c r="C3">
        <v>5</v>
      </c>
      <c r="D3" s="1130">
        <v>6</v>
      </c>
      <c r="E3" t="s">
        <v>541</v>
      </c>
    </row>
    <row r="4" spans="2:15" x14ac:dyDescent="0.2">
      <c r="B4" s="1131">
        <v>7</v>
      </c>
      <c r="C4">
        <v>8</v>
      </c>
      <c r="D4" s="1130">
        <v>10</v>
      </c>
      <c r="E4">
        <f>MDETERM(B2:D4)</f>
        <v>-2.9999999999999982</v>
      </c>
    </row>
    <row r="6" spans="2:15" x14ac:dyDescent="0.2">
      <c r="B6" s="1132">
        <f>B2</f>
        <v>1</v>
      </c>
      <c r="C6">
        <f>C2</f>
        <v>2</v>
      </c>
      <c r="D6" s="1130">
        <f>D2</f>
        <v>3</v>
      </c>
      <c r="G6" s="1131">
        <v>1</v>
      </c>
      <c r="H6">
        <v>2</v>
      </c>
      <c r="I6" s="1130">
        <v>3</v>
      </c>
      <c r="L6" s="1131">
        <v>1</v>
      </c>
      <c r="M6">
        <v>2</v>
      </c>
      <c r="N6" s="1130">
        <v>3</v>
      </c>
    </row>
    <row r="7" spans="2:15" x14ac:dyDescent="0.2">
      <c r="B7" s="1132">
        <f>B4</f>
        <v>7</v>
      </c>
      <c r="C7">
        <f>C4</f>
        <v>8</v>
      </c>
      <c r="D7" s="1130">
        <f>D4</f>
        <v>10</v>
      </c>
      <c r="E7" t="s">
        <v>541</v>
      </c>
      <c r="G7" s="1131">
        <v>4</v>
      </c>
      <c r="H7">
        <v>5</v>
      </c>
      <c r="I7" s="1130">
        <v>6</v>
      </c>
      <c r="J7" t="s">
        <v>541</v>
      </c>
      <c r="L7" s="1131">
        <v>4</v>
      </c>
      <c r="M7">
        <v>5</v>
      </c>
      <c r="N7" s="1130">
        <v>6</v>
      </c>
      <c r="O7" t="s">
        <v>541</v>
      </c>
    </row>
    <row r="8" spans="2:15" x14ac:dyDescent="0.2">
      <c r="B8" s="1132">
        <f>B3</f>
        <v>4</v>
      </c>
      <c r="C8">
        <f>C3</f>
        <v>5</v>
      </c>
      <c r="D8" s="1130">
        <f>D3</f>
        <v>6</v>
      </c>
      <c r="E8">
        <f>MDETERM(B6:D8)</f>
        <v>2.9999999999999982</v>
      </c>
      <c r="G8" s="1131">
        <v>11</v>
      </c>
      <c r="H8">
        <v>13</v>
      </c>
      <c r="I8" s="1130">
        <v>16</v>
      </c>
      <c r="J8">
        <f>MDETERM(G6:I8)</f>
        <v>-2.9999999999999973</v>
      </c>
      <c r="L8" s="1131">
        <v>14</v>
      </c>
      <c r="M8">
        <v>16</v>
      </c>
      <c r="N8" s="1130">
        <v>20</v>
      </c>
      <c r="O8">
        <f>MDETERM(L6:N8)</f>
        <v>-5.9999999999999964</v>
      </c>
    </row>
    <row r="10" spans="2:15" x14ac:dyDescent="0.2">
      <c r="B10" s="1131">
        <v>2</v>
      </c>
      <c r="C10">
        <v>1</v>
      </c>
      <c r="D10" s="1130">
        <v>3</v>
      </c>
      <c r="G10" s="1131">
        <v>1</v>
      </c>
      <c r="H10">
        <v>2</v>
      </c>
      <c r="I10" s="1130">
        <v>5</v>
      </c>
      <c r="L10" s="1131">
        <f t="shared" ref="L10:M12" si="0">B2</f>
        <v>1</v>
      </c>
      <c r="M10">
        <f t="shared" si="0"/>
        <v>2</v>
      </c>
      <c r="N10" s="1130">
        <f>D2*2</f>
        <v>6</v>
      </c>
    </row>
    <row r="11" spans="2:15" x14ac:dyDescent="0.2">
      <c r="B11" s="1131">
        <v>5</v>
      </c>
      <c r="C11">
        <v>4</v>
      </c>
      <c r="D11" s="1130">
        <v>6</v>
      </c>
      <c r="E11" t="s">
        <v>541</v>
      </c>
      <c r="G11" s="1131">
        <v>4</v>
      </c>
      <c r="H11">
        <v>5</v>
      </c>
      <c r="I11" s="1130">
        <v>11</v>
      </c>
      <c r="J11" t="s">
        <v>541</v>
      </c>
      <c r="L11" s="1131">
        <f t="shared" si="0"/>
        <v>4</v>
      </c>
      <c r="M11">
        <f t="shared" si="0"/>
        <v>5</v>
      </c>
      <c r="N11" s="1130">
        <f>D3*2</f>
        <v>12</v>
      </c>
      <c r="O11" t="s">
        <v>541</v>
      </c>
    </row>
    <row r="12" spans="2:15" x14ac:dyDescent="0.2">
      <c r="B12" s="1131">
        <v>8</v>
      </c>
      <c r="C12">
        <v>7</v>
      </c>
      <c r="D12" s="1130">
        <v>10</v>
      </c>
      <c r="E12">
        <f>MDETERM(B10:D12)</f>
        <v>3</v>
      </c>
      <c r="G12" s="1131">
        <v>7</v>
      </c>
      <c r="H12">
        <v>8</v>
      </c>
      <c r="I12" s="1130">
        <v>18</v>
      </c>
      <c r="J12">
        <f>MDETERM(G10:I12)</f>
        <v>-2.9999999999999973</v>
      </c>
      <c r="L12" s="1131">
        <f t="shared" si="0"/>
        <v>7</v>
      </c>
      <c r="M12">
        <f t="shared" si="0"/>
        <v>8</v>
      </c>
      <c r="N12" s="1130">
        <f>D4*2</f>
        <v>20</v>
      </c>
      <c r="O12">
        <f>MDETERM(L10:N12)</f>
        <v>-5.9999999999999964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D849A-2BCF-495B-BF5B-EB97EAF80F88}">
  <dimension ref="A1:U20"/>
  <sheetViews>
    <sheetView zoomScaleNormal="100" workbookViewId="0">
      <selection activeCell="B19" sqref="B19"/>
    </sheetView>
  </sheetViews>
  <sheetFormatPr baseColWidth="10" defaultColWidth="6.83203125" defaultRowHeight="16" x14ac:dyDescent="0.2"/>
  <cols>
    <col min="1" max="6" width="4.83203125" style="1" customWidth="1"/>
    <col min="7" max="7" width="5.83203125" style="1" customWidth="1"/>
    <col min="8" max="13" width="4.83203125" style="1" customWidth="1"/>
    <col min="14" max="14" width="5.83203125" style="1" customWidth="1"/>
    <col min="15" max="15" width="4.83203125" style="1" customWidth="1"/>
    <col min="16" max="16" width="6.83203125" style="1" customWidth="1"/>
    <col min="17" max="17" width="3.83203125" style="1" customWidth="1"/>
    <col min="18" max="19" width="6.83203125" style="1" customWidth="1"/>
    <col min="20" max="20" width="6.83203125" style="1"/>
    <col min="22" max="16384" width="6.83203125" style="1"/>
  </cols>
  <sheetData>
    <row r="1" spans="1:20" x14ac:dyDescent="0.2">
      <c r="A1"/>
      <c r="B1"/>
      <c r="C1"/>
      <c r="D1"/>
      <c r="E1"/>
      <c r="F1"/>
      <c r="G1"/>
      <c r="H1"/>
      <c r="I1"/>
      <c r="J1" s="1434" t="s">
        <v>311</v>
      </c>
      <c r="K1" s="1435"/>
      <c r="L1" s="1435"/>
      <c r="M1" s="1435"/>
      <c r="N1" s="1435"/>
      <c r="O1" s="1435"/>
      <c r="P1" s="1435"/>
      <c r="Q1" s="1435"/>
      <c r="R1" s="1435"/>
      <c r="S1" s="1435"/>
      <c r="T1" s="1445"/>
    </row>
    <row r="2" spans="1:20" ht="18" x14ac:dyDescent="0.2">
      <c r="A2" s="1436" t="s">
        <v>310</v>
      </c>
      <c r="B2" s="748"/>
      <c r="C2" s="1438" t="s">
        <v>106</v>
      </c>
      <c r="D2" s="1439"/>
      <c r="E2" s="1440"/>
      <c r="F2" s="1436" t="s">
        <v>309</v>
      </c>
      <c r="G2" s="1441" t="s">
        <v>308</v>
      </c>
      <c r="H2" s="1448" t="s">
        <v>307</v>
      </c>
      <c r="I2" s="1446" t="s">
        <v>306</v>
      </c>
      <c r="J2" s="1400" t="s">
        <v>305</v>
      </c>
      <c r="K2" s="1443"/>
      <c r="L2" s="1443"/>
      <c r="M2" s="1444"/>
      <c r="N2" s="631" t="s">
        <v>34</v>
      </c>
      <c r="O2" s="631" t="s">
        <v>47</v>
      </c>
      <c r="P2" s="2" t="s">
        <v>30</v>
      </c>
      <c r="Q2" s="667" t="s">
        <v>31</v>
      </c>
      <c r="R2" s="676" t="s">
        <v>32</v>
      </c>
      <c r="S2" s="676" t="s">
        <v>3</v>
      </c>
      <c r="T2" s="667" t="s">
        <v>33</v>
      </c>
    </row>
    <row r="3" spans="1:20" x14ac:dyDescent="0.2">
      <c r="A3" s="1437"/>
      <c r="B3" s="472">
        <v>0</v>
      </c>
      <c r="C3" s="747" t="s">
        <v>304</v>
      </c>
      <c r="D3" s="746" t="s">
        <v>66</v>
      </c>
      <c r="E3" s="745" t="s">
        <v>256</v>
      </c>
      <c r="F3" s="1437"/>
      <c r="G3" s="1442"/>
      <c r="H3" s="1449"/>
      <c r="I3" s="1447"/>
      <c r="J3" s="81">
        <f t="array" ref="J3:M6">MMULT(TRANSPOSE(B4:E11),B4:E11)</f>
        <v>8</v>
      </c>
      <c r="K3" s="88">
        <v>0</v>
      </c>
      <c r="L3" s="88">
        <v>0</v>
      </c>
      <c r="M3" s="80">
        <v>0</v>
      </c>
      <c r="N3" s="120">
        <f t="array" ref="N3:N6">MMULT(TRANSPOSE(B4:E11),G4:G11)</f>
        <v>161</v>
      </c>
      <c r="O3" s="518">
        <v>1</v>
      </c>
      <c r="P3" s="743">
        <f>N4*N9</f>
        <v>105.125</v>
      </c>
      <c r="Q3" s="41">
        <v>1</v>
      </c>
      <c r="R3" s="742">
        <f>P3/Q3</f>
        <v>105.125</v>
      </c>
      <c r="S3" s="742">
        <f>R3/R$7</f>
        <v>13.78688524590164</v>
      </c>
      <c r="T3" s="642">
        <f>FDIST(S3,Q3,Q$6)</f>
        <v>3.3969357709358904E-2</v>
      </c>
    </row>
    <row r="4" spans="1:20" x14ac:dyDescent="0.2">
      <c r="A4" s="740">
        <v>1</v>
      </c>
      <c r="B4" s="40">
        <v>1</v>
      </c>
      <c r="C4" s="87">
        <v>-1</v>
      </c>
      <c r="D4" s="40">
        <v>-1</v>
      </c>
      <c r="E4" s="41">
        <v>1</v>
      </c>
      <c r="F4" s="41">
        <v>1</v>
      </c>
      <c r="G4" s="731">
        <v>18</v>
      </c>
      <c r="H4" s="730">
        <f t="array" ref="H4:H11">MMULT(B4:E11,N8:N11)</f>
        <v>16.75</v>
      </c>
      <c r="I4" s="729">
        <f t="array" ref="I4:I11">MMULT(B4:F11,N14:N18)</f>
        <v>18.625</v>
      </c>
      <c r="J4" s="455">
        <v>0</v>
      </c>
      <c r="K4" s="1">
        <v>8</v>
      </c>
      <c r="L4" s="1">
        <v>0</v>
      </c>
      <c r="M4" s="90">
        <v>0</v>
      </c>
      <c r="N4" s="622">
        <v>29</v>
      </c>
      <c r="O4" s="515">
        <v>2</v>
      </c>
      <c r="P4" s="455">
        <f>N5*N10</f>
        <v>66.125</v>
      </c>
      <c r="Q4" s="475">
        <v>1</v>
      </c>
      <c r="R4" s="715">
        <f>P4/Q4</f>
        <v>66.125</v>
      </c>
      <c r="S4" s="715">
        <f>R4/R$7</f>
        <v>8.6721311475409841</v>
      </c>
      <c r="T4" s="651">
        <f>FDIST(S4,Q4,Q$6)</f>
        <v>6.02741823248331E-2</v>
      </c>
    </row>
    <row r="5" spans="1:20" x14ac:dyDescent="0.2">
      <c r="A5" s="732">
        <v>2</v>
      </c>
      <c r="B5" s="94">
        <v>1</v>
      </c>
      <c r="C5" s="89">
        <v>1</v>
      </c>
      <c r="D5" s="94">
        <v>1</v>
      </c>
      <c r="E5" s="475">
        <v>1</v>
      </c>
      <c r="F5" s="475">
        <v>1</v>
      </c>
      <c r="G5" s="731">
        <v>20</v>
      </c>
      <c r="H5" s="730">
        <v>18.25</v>
      </c>
      <c r="I5" s="729">
        <v>20.125</v>
      </c>
      <c r="J5" s="455">
        <v>0</v>
      </c>
      <c r="K5" s="1">
        <v>0</v>
      </c>
      <c r="L5" s="1">
        <v>8</v>
      </c>
      <c r="M5" s="90">
        <v>0</v>
      </c>
      <c r="N5" s="622">
        <v>-23</v>
      </c>
      <c r="O5" s="513">
        <v>3</v>
      </c>
      <c r="P5" s="106">
        <f>N6*N11</f>
        <v>55.125</v>
      </c>
      <c r="Q5" s="97">
        <v>1</v>
      </c>
      <c r="R5" s="744">
        <f>P5/Q5</f>
        <v>55.125</v>
      </c>
      <c r="S5" s="744">
        <f>R5/R$7</f>
        <v>7.2295081967213113</v>
      </c>
      <c r="T5" s="638">
        <f>FDIST(S5,Q5,Q$6)</f>
        <v>7.4491591699461512E-2</v>
      </c>
    </row>
    <row r="6" spans="1:20" x14ac:dyDescent="0.2">
      <c r="A6" s="732">
        <v>3</v>
      </c>
      <c r="B6" s="94">
        <v>1</v>
      </c>
      <c r="C6" s="89">
        <v>-1</v>
      </c>
      <c r="D6" s="94">
        <v>1</v>
      </c>
      <c r="E6" s="475">
        <v>-1</v>
      </c>
      <c r="F6" s="475">
        <v>1</v>
      </c>
      <c r="G6" s="731">
        <v>18</v>
      </c>
      <c r="H6" s="730">
        <v>16.25</v>
      </c>
      <c r="I6" s="729">
        <v>18.125</v>
      </c>
      <c r="J6" s="106">
        <v>0</v>
      </c>
      <c r="K6" s="76">
        <v>0</v>
      </c>
      <c r="L6" s="76">
        <v>0</v>
      </c>
      <c r="M6" s="77">
        <v>8</v>
      </c>
      <c r="N6" s="621">
        <v>-21</v>
      </c>
      <c r="O6" s="518" t="s">
        <v>5</v>
      </c>
      <c r="P6" s="743">
        <f>SUMSQ(H4:H11)-8*N8^2</f>
        <v>226.375</v>
      </c>
      <c r="Q6" s="41">
        <f>4-1</f>
        <v>3</v>
      </c>
      <c r="R6" s="742">
        <f>P6/Q6</f>
        <v>75.458333333333329</v>
      </c>
      <c r="S6" s="742">
        <f>R6/R7</f>
        <v>9.8961748633879782</v>
      </c>
      <c r="T6" s="642">
        <f>FDIST(S6,Q6,Q7)</f>
        <v>2.5362988852438564E-2</v>
      </c>
    </row>
    <row r="7" spans="1:20" ht="18" x14ac:dyDescent="0.2">
      <c r="A7" s="732">
        <v>4</v>
      </c>
      <c r="B7" s="96">
        <v>1</v>
      </c>
      <c r="C7" s="75">
        <v>1</v>
      </c>
      <c r="D7" s="96">
        <v>-1</v>
      </c>
      <c r="E7" s="97">
        <v>-1</v>
      </c>
      <c r="F7" s="97">
        <v>1</v>
      </c>
      <c r="G7" s="731">
        <v>32</v>
      </c>
      <c r="H7" s="730">
        <v>29.25</v>
      </c>
      <c r="I7" s="729">
        <v>31.125</v>
      </c>
      <c r="J7" s="1400" t="s">
        <v>303</v>
      </c>
      <c r="K7" s="1443"/>
      <c r="L7" s="1443"/>
      <c r="M7" s="1444"/>
      <c r="N7" s="513" t="s">
        <v>39</v>
      </c>
      <c r="O7" s="513" t="s">
        <v>6</v>
      </c>
      <c r="P7" s="741">
        <f>SUMSQ(G4:G11)-SUMSQ(H4:H11)</f>
        <v>30.5</v>
      </c>
      <c r="Q7" s="97">
        <f>8-4</f>
        <v>4</v>
      </c>
      <c r="R7" s="715">
        <f>P7/Q7</f>
        <v>7.625</v>
      </c>
      <c r="S7" s="129" t="s">
        <v>262</v>
      </c>
      <c r="T7" s="714">
        <f>SQRT(R7)</f>
        <v>2.7613402542968153</v>
      </c>
    </row>
    <row r="8" spans="1:20" ht="18" x14ac:dyDescent="0.2">
      <c r="A8" s="740">
        <v>5</v>
      </c>
      <c r="B8" s="40">
        <v>1</v>
      </c>
      <c r="C8" s="87">
        <v>1</v>
      </c>
      <c r="D8" s="40">
        <v>1</v>
      </c>
      <c r="E8" s="41">
        <v>-1</v>
      </c>
      <c r="F8" s="41">
        <v>-1</v>
      </c>
      <c r="G8" s="739">
        <v>21</v>
      </c>
      <c r="H8" s="738">
        <v>23.5</v>
      </c>
      <c r="I8" s="737">
        <v>21.625</v>
      </c>
      <c r="J8" s="736">
        <f t="array" ref="J8:M11">MINVERSE(J3:M6)</f>
        <v>0.125</v>
      </c>
      <c r="K8" s="735">
        <v>0</v>
      </c>
      <c r="L8" s="735">
        <v>0</v>
      </c>
      <c r="M8" s="734">
        <v>0</v>
      </c>
      <c r="N8" s="717">
        <f t="array" ref="N8:N11">MMULT(J8:M11,N3:N6)</f>
        <v>20.125</v>
      </c>
      <c r="O8" s="631" t="s">
        <v>7</v>
      </c>
      <c r="P8" s="733">
        <f>SUMSQ(G4:G11)-8*N8^2</f>
        <v>256.875</v>
      </c>
      <c r="Q8" s="474">
        <f>8-1</f>
        <v>7</v>
      </c>
      <c r="R8" s="712"/>
      <c r="S8" s="127" t="s">
        <v>46</v>
      </c>
      <c r="T8" s="638">
        <f>P6/P8</f>
        <v>0.88126520681265208</v>
      </c>
    </row>
    <row r="9" spans="1:20" x14ac:dyDescent="0.2">
      <c r="A9" s="732">
        <v>6</v>
      </c>
      <c r="B9" s="94">
        <v>1</v>
      </c>
      <c r="C9" s="89">
        <v>-1</v>
      </c>
      <c r="D9" s="94">
        <v>-1</v>
      </c>
      <c r="E9" s="475">
        <v>-1</v>
      </c>
      <c r="F9" s="475">
        <v>-1</v>
      </c>
      <c r="G9" s="731">
        <v>20</v>
      </c>
      <c r="H9" s="730">
        <v>22</v>
      </c>
      <c r="I9" s="729">
        <v>20.125</v>
      </c>
      <c r="J9" s="728">
        <v>0</v>
      </c>
      <c r="K9" s="727">
        <v>0.125</v>
      </c>
      <c r="L9" s="727">
        <v>0</v>
      </c>
      <c r="M9" s="726">
        <v>0</v>
      </c>
      <c r="N9" s="720">
        <v>3.625</v>
      </c>
    </row>
    <row r="10" spans="1:20" x14ac:dyDescent="0.2">
      <c r="A10" s="732">
        <v>7</v>
      </c>
      <c r="B10" s="94">
        <v>1</v>
      </c>
      <c r="C10" s="89">
        <v>1</v>
      </c>
      <c r="D10" s="94">
        <v>-1</v>
      </c>
      <c r="E10" s="475">
        <v>1</v>
      </c>
      <c r="F10" s="475">
        <v>-1</v>
      </c>
      <c r="G10" s="731">
        <v>22</v>
      </c>
      <c r="H10" s="730">
        <v>24</v>
      </c>
      <c r="I10" s="729">
        <v>22.125</v>
      </c>
      <c r="J10" s="728">
        <v>0</v>
      </c>
      <c r="K10" s="727">
        <v>0</v>
      </c>
      <c r="L10" s="727">
        <v>0.125</v>
      </c>
      <c r="M10" s="726">
        <v>0</v>
      </c>
      <c r="N10" s="720">
        <v>-2.875</v>
      </c>
      <c r="T10" s="715"/>
    </row>
    <row r="11" spans="1:20" x14ac:dyDescent="0.2">
      <c r="A11" s="732">
        <v>8</v>
      </c>
      <c r="B11" s="94">
        <v>1</v>
      </c>
      <c r="C11" s="89">
        <v>-1</v>
      </c>
      <c r="D11" s="94">
        <v>1</v>
      </c>
      <c r="E11" s="475">
        <v>1</v>
      </c>
      <c r="F11" s="475">
        <v>-1</v>
      </c>
      <c r="G11" s="731">
        <v>10</v>
      </c>
      <c r="H11" s="730">
        <v>11</v>
      </c>
      <c r="I11" s="729">
        <v>9.125</v>
      </c>
      <c r="J11" s="728">
        <v>0</v>
      </c>
      <c r="K11" s="727">
        <v>0</v>
      </c>
      <c r="L11" s="727">
        <v>0</v>
      </c>
      <c r="M11" s="726">
        <v>0.125</v>
      </c>
      <c r="N11" s="720">
        <v>-2.625</v>
      </c>
      <c r="T11" s="715"/>
    </row>
    <row r="12" spans="1:20" x14ac:dyDescent="0.2">
      <c r="A12" s="1434" t="s">
        <v>302</v>
      </c>
      <c r="B12" s="1435"/>
      <c r="C12" s="1435"/>
      <c r="D12" s="1435"/>
      <c r="E12" s="1435"/>
      <c r="F12" s="1435"/>
      <c r="G12" s="1435"/>
      <c r="H12" s="1435"/>
      <c r="I12" s="1435"/>
      <c r="J12" s="1435"/>
      <c r="K12" s="1435"/>
      <c r="L12" s="1398"/>
      <c r="M12" s="1398"/>
      <c r="N12" s="1398"/>
      <c r="O12" s="1398"/>
      <c r="P12" s="1398"/>
      <c r="Q12" s="1398"/>
      <c r="R12" s="1398"/>
      <c r="S12" s="1398"/>
      <c r="T12" s="1361"/>
    </row>
    <row r="13" spans="1:20" ht="18" x14ac:dyDescent="0.2">
      <c r="B13" s="1431" t="s">
        <v>301</v>
      </c>
      <c r="C13" s="1432"/>
      <c r="D13" s="1432"/>
      <c r="E13" s="1432"/>
      <c r="F13" s="1433"/>
      <c r="G13" s="513" t="s">
        <v>34</v>
      </c>
      <c r="I13" s="1431" t="s">
        <v>300</v>
      </c>
      <c r="J13" s="1432"/>
      <c r="K13" s="1432"/>
      <c r="L13" s="1432"/>
      <c r="M13" s="1433"/>
      <c r="N13" s="513" t="s">
        <v>39</v>
      </c>
      <c r="O13" s="513" t="s">
        <v>47</v>
      </c>
      <c r="P13" s="127" t="s">
        <v>30</v>
      </c>
      <c r="Q13" s="665" t="s">
        <v>31</v>
      </c>
      <c r="R13" s="724" t="s">
        <v>32</v>
      </c>
      <c r="S13" s="724" t="s">
        <v>3</v>
      </c>
      <c r="T13" s="665" t="s">
        <v>33</v>
      </c>
    </row>
    <row r="14" spans="1:20" x14ac:dyDescent="0.2">
      <c r="B14" s="81">
        <f t="array" ref="B14:F18">MMULT(TRANSPOSE(B4:F11),B4:F11)</f>
        <v>8</v>
      </c>
      <c r="C14" s="88">
        <v>0</v>
      </c>
      <c r="D14" s="88">
        <v>0</v>
      </c>
      <c r="E14" s="88">
        <v>0</v>
      </c>
      <c r="F14" s="80">
        <v>0</v>
      </c>
      <c r="G14" s="120">
        <f t="array" ref="G14:G18">MMULT(TRANSPOSE(B4:F11),G4:G11)</f>
        <v>161</v>
      </c>
      <c r="I14" s="81">
        <f t="array" ref="I14:M18">MINVERSE(B14:F18)</f>
        <v>0.125</v>
      </c>
      <c r="J14" s="88">
        <v>0</v>
      </c>
      <c r="K14" s="88">
        <v>0</v>
      </c>
      <c r="L14" s="88">
        <v>0</v>
      </c>
      <c r="M14" s="80">
        <v>0</v>
      </c>
      <c r="N14" s="717">
        <f t="array" ref="N14:N18">MMULT(I14:M18,G14:G18)</f>
        <v>20.125</v>
      </c>
      <c r="O14" s="515">
        <v>1</v>
      </c>
      <c r="P14" s="723">
        <f>G15*N15</f>
        <v>105.125</v>
      </c>
      <c r="Q14" s="475">
        <v>1</v>
      </c>
      <c r="R14" s="722">
        <f t="shared" ref="R14:R19" si="0">P14/Q14</f>
        <v>105.125</v>
      </c>
      <c r="S14" s="715">
        <f>R14/R$19</f>
        <v>177.05263157894737</v>
      </c>
      <c r="T14" s="90">
        <f>FDIST(S14,Q14,Q$18)</f>
        <v>9.1739518639730752E-4</v>
      </c>
    </row>
    <row r="15" spans="1:20" x14ac:dyDescent="0.2">
      <c r="B15" s="455">
        <v>0</v>
      </c>
      <c r="C15" s="1">
        <v>8</v>
      </c>
      <c r="D15" s="1">
        <v>0</v>
      </c>
      <c r="E15" s="1">
        <v>0</v>
      </c>
      <c r="F15" s="90">
        <v>0</v>
      </c>
      <c r="G15" s="622">
        <v>29</v>
      </c>
      <c r="I15" s="455">
        <v>0</v>
      </c>
      <c r="J15" s="1">
        <v>0.125</v>
      </c>
      <c r="K15" s="1">
        <v>0</v>
      </c>
      <c r="L15" s="1">
        <v>0</v>
      </c>
      <c r="M15" s="90">
        <v>0</v>
      </c>
      <c r="N15" s="720">
        <v>3.625</v>
      </c>
      <c r="O15" s="515">
        <v>2</v>
      </c>
      <c r="P15" s="721">
        <f>G16*N16</f>
        <v>66.125</v>
      </c>
      <c r="Q15" s="475">
        <v>1</v>
      </c>
      <c r="R15" s="715">
        <f t="shared" si="0"/>
        <v>66.125</v>
      </c>
      <c r="S15" s="715">
        <f>R15/R$19</f>
        <v>111.36842105263158</v>
      </c>
      <c r="T15" s="90">
        <f>FDIST(S15,Q15,Q$18)</f>
        <v>1.8174574413953614E-3</v>
      </c>
    </row>
    <row r="16" spans="1:20" x14ac:dyDescent="0.2">
      <c r="B16" s="455">
        <v>0</v>
      </c>
      <c r="C16" s="1">
        <v>0</v>
      </c>
      <c r="D16" s="1">
        <v>8</v>
      </c>
      <c r="E16" s="1">
        <v>0</v>
      </c>
      <c r="F16" s="90">
        <v>0</v>
      </c>
      <c r="G16" s="622">
        <v>-23</v>
      </c>
      <c r="I16" s="455">
        <v>0</v>
      </c>
      <c r="J16" s="1">
        <v>0</v>
      </c>
      <c r="K16" s="1">
        <v>0.125</v>
      </c>
      <c r="L16" s="1">
        <v>0</v>
      </c>
      <c r="M16" s="90">
        <v>0</v>
      </c>
      <c r="N16" s="720">
        <v>-2.875</v>
      </c>
      <c r="O16" s="515">
        <v>3</v>
      </c>
      <c r="P16" s="721">
        <f>G17*N17</f>
        <v>55.125</v>
      </c>
      <c r="Q16" s="475">
        <v>1</v>
      </c>
      <c r="R16" s="715">
        <f t="shared" si="0"/>
        <v>55.125</v>
      </c>
      <c r="S16" s="715">
        <f>R16/R$19</f>
        <v>92.84210526315789</v>
      </c>
      <c r="T16" s="90">
        <f>FDIST(S16,Q16,Q$18)</f>
        <v>2.3728187668141366E-3</v>
      </c>
    </row>
    <row r="17" spans="1:20" x14ac:dyDescent="0.2">
      <c r="B17" s="455">
        <v>0</v>
      </c>
      <c r="C17" s="1">
        <v>0</v>
      </c>
      <c r="D17" s="1">
        <v>0</v>
      </c>
      <c r="E17" s="1">
        <v>8</v>
      </c>
      <c r="F17" s="90">
        <v>0</v>
      </c>
      <c r="G17" s="622">
        <v>-21</v>
      </c>
      <c r="I17" s="455">
        <v>0</v>
      </c>
      <c r="J17" s="1">
        <v>0</v>
      </c>
      <c r="K17" s="1">
        <v>0</v>
      </c>
      <c r="L17" s="1">
        <v>0.125</v>
      </c>
      <c r="M17" s="90">
        <v>0</v>
      </c>
      <c r="N17" s="720">
        <v>-2.625</v>
      </c>
      <c r="O17" s="631" t="s">
        <v>1</v>
      </c>
      <c r="P17" s="719">
        <f>G18*N18</f>
        <v>28.125</v>
      </c>
      <c r="Q17" s="474">
        <v>1</v>
      </c>
      <c r="R17" s="718">
        <f t="shared" si="0"/>
        <v>28.125</v>
      </c>
      <c r="S17" s="718">
        <f>R17/R$19</f>
        <v>47.368421052631582</v>
      </c>
      <c r="T17" s="93">
        <f>FDIST(S17,Q17,Q$18)</f>
        <v>6.2831560252952839E-3</v>
      </c>
    </row>
    <row r="18" spans="1:20" x14ac:dyDescent="0.2">
      <c r="B18" s="106">
        <v>0</v>
      </c>
      <c r="C18" s="76">
        <v>0</v>
      </c>
      <c r="D18" s="76">
        <v>0</v>
      </c>
      <c r="E18" s="76">
        <v>0</v>
      </c>
      <c r="F18" s="77">
        <v>8</v>
      </c>
      <c r="G18" s="621">
        <v>15</v>
      </c>
      <c r="I18" s="106">
        <v>0</v>
      </c>
      <c r="J18" s="76">
        <v>0</v>
      </c>
      <c r="K18" s="76">
        <v>0</v>
      </c>
      <c r="L18" s="76">
        <v>0</v>
      </c>
      <c r="M18" s="77">
        <v>0.125</v>
      </c>
      <c r="N18" s="716">
        <v>1.875</v>
      </c>
      <c r="O18" s="515" t="s">
        <v>5</v>
      </c>
      <c r="P18" s="717">
        <f>SUMSQ(I4:I11)-8*N14^2</f>
        <v>254.5</v>
      </c>
      <c r="Q18" s="475">
        <f>4-1</f>
        <v>3</v>
      </c>
      <c r="R18" s="715">
        <f t="shared" si="0"/>
        <v>84.833333333333329</v>
      </c>
      <c r="S18" s="715">
        <f>R18/R19</f>
        <v>142.87719298245614</v>
      </c>
      <c r="T18" s="90">
        <f>FDIST(S18,Q18,Q19)</f>
        <v>1.597871903761036E-4</v>
      </c>
    </row>
    <row r="19" spans="1:20" x14ac:dyDescent="0.2">
      <c r="A19"/>
      <c r="B19"/>
      <c r="C19"/>
      <c r="D19"/>
      <c r="E19"/>
      <c r="F19"/>
      <c r="O19" s="513" t="s">
        <v>6</v>
      </c>
      <c r="P19" s="716">
        <f>SUMSQ(G4:G11)-SUMSQ(I4:I11)</f>
        <v>2.375</v>
      </c>
      <c r="Q19" s="97">
        <f>8-4</f>
        <v>4</v>
      </c>
      <c r="R19" s="715">
        <f t="shared" si="0"/>
        <v>0.59375</v>
      </c>
      <c r="S19" s="129" t="s">
        <v>262</v>
      </c>
      <c r="T19" s="714">
        <f>SQRT(R19)</f>
        <v>0.770551750371122</v>
      </c>
    </row>
    <row r="20" spans="1:20" ht="18" x14ac:dyDescent="0.2">
      <c r="O20" s="631" t="s">
        <v>7</v>
      </c>
      <c r="P20" s="713">
        <f>P18+P19</f>
        <v>256.875</v>
      </c>
      <c r="Q20" s="474">
        <f>8-1</f>
        <v>7</v>
      </c>
      <c r="R20" s="712"/>
      <c r="S20" s="127" t="s">
        <v>46</v>
      </c>
      <c r="T20" s="77">
        <f>P18/P20</f>
        <v>0.99075425790754257</v>
      </c>
    </row>
  </sheetData>
  <mergeCells count="12">
    <mergeCell ref="J1:T1"/>
    <mergeCell ref="I13:M13"/>
    <mergeCell ref="I2:I3"/>
    <mergeCell ref="J7:M7"/>
    <mergeCell ref="H2:H3"/>
    <mergeCell ref="B13:F13"/>
    <mergeCell ref="A12:T12"/>
    <mergeCell ref="A2:A3"/>
    <mergeCell ref="C2:E2"/>
    <mergeCell ref="F2:F3"/>
    <mergeCell ref="G2:G3"/>
    <mergeCell ref="J2:M2"/>
  </mergeCells>
  <conditionalFormatting sqref="J3:M11">
    <cfRule type="cellIs" dxfId="56" priority="1" operator="equal">
      <formula>0</formula>
    </cfRule>
  </conditionalFormatting>
  <pageMargins left="0.7" right="0.7" top="0.75" bottom="0.75" header="0.3" footer="0.3"/>
  <pageSetup orientation="portrait" horizontalDpi="0" verticalDpi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AC576-A45A-4C94-8E95-13D3A72E0ECC}">
  <dimension ref="A1:R21"/>
  <sheetViews>
    <sheetView zoomScaleNormal="100" workbookViewId="0">
      <selection activeCell="A22" sqref="A22"/>
    </sheetView>
  </sheetViews>
  <sheetFormatPr baseColWidth="10" defaultColWidth="6.83203125" defaultRowHeight="16" x14ac:dyDescent="0.2"/>
  <cols>
    <col min="1" max="9" width="6.83203125" style="1" customWidth="1"/>
    <col min="10" max="16384" width="6.83203125" style="1"/>
  </cols>
  <sheetData>
    <row r="1" spans="1:18" x14ac:dyDescent="0.2">
      <c r="A1" s="1357" t="s">
        <v>299</v>
      </c>
      <c r="B1" s="1358"/>
      <c r="C1" s="1358"/>
      <c r="D1" s="1358"/>
      <c r="E1" s="1358"/>
      <c r="F1" s="1358"/>
      <c r="G1" s="1358"/>
      <c r="H1" s="1358"/>
      <c r="I1" s="1359"/>
      <c r="J1" s="1357" t="s">
        <v>298</v>
      </c>
      <c r="K1" s="1358"/>
      <c r="L1" s="1358"/>
      <c r="M1" s="1358"/>
      <c r="N1" s="1358"/>
      <c r="O1" s="1358"/>
      <c r="P1" s="1358"/>
      <c r="Q1" s="1358"/>
      <c r="R1" s="1359"/>
    </row>
    <row r="2" spans="1:18" x14ac:dyDescent="0.2">
      <c r="A2" s="518">
        <v>1</v>
      </c>
      <c r="B2" s="5">
        <v>2</v>
      </c>
      <c r="C2" s="5">
        <v>3</v>
      </c>
      <c r="D2" s="5">
        <v>4</v>
      </c>
      <c r="E2" s="5">
        <v>5</v>
      </c>
      <c r="F2" s="5">
        <v>6</v>
      </c>
      <c r="G2" s="5">
        <v>7</v>
      </c>
      <c r="H2" s="5">
        <v>8</v>
      </c>
      <c r="I2" s="6">
        <v>9</v>
      </c>
      <c r="J2" s="129">
        <v>1</v>
      </c>
      <c r="K2" s="472">
        <v>2</v>
      </c>
      <c r="L2" s="472">
        <v>3</v>
      </c>
      <c r="M2" s="472">
        <v>4</v>
      </c>
      <c r="N2" s="472">
        <v>5</v>
      </c>
      <c r="O2" s="472">
        <v>6</v>
      </c>
      <c r="P2" s="472">
        <v>7</v>
      </c>
      <c r="Q2" s="472">
        <v>8</v>
      </c>
      <c r="R2" s="666">
        <v>9</v>
      </c>
    </row>
    <row r="3" spans="1:18" x14ac:dyDescent="0.2">
      <c r="A3" s="555">
        <v>1</v>
      </c>
      <c r="B3" s="711">
        <f t="shared" ref="B3:I3" si="0">-1/SQRT((B$2-1)*B$2)</f>
        <v>-0.70710678118654746</v>
      </c>
      <c r="C3" s="711">
        <f t="shared" si="0"/>
        <v>-0.40824829046386307</v>
      </c>
      <c r="D3" s="711">
        <f t="shared" si="0"/>
        <v>-0.28867513459481292</v>
      </c>
      <c r="E3" s="711">
        <f t="shared" si="0"/>
        <v>-0.22360679774997896</v>
      </c>
      <c r="F3" s="711">
        <f t="shared" si="0"/>
        <v>-0.18257418583505536</v>
      </c>
      <c r="G3" s="711">
        <f t="shared" si="0"/>
        <v>-0.15430334996209191</v>
      </c>
      <c r="H3" s="711">
        <f t="shared" si="0"/>
        <v>-0.1336306209562122</v>
      </c>
      <c r="I3" s="711">
        <f t="shared" si="0"/>
        <v>-0.11785113019775793</v>
      </c>
      <c r="J3" s="710">
        <v>1</v>
      </c>
      <c r="K3" s="696">
        <v>2.5</v>
      </c>
      <c r="L3" s="709">
        <v>-0.5</v>
      </c>
      <c r="M3" s="709">
        <v>-0.5</v>
      </c>
      <c r="N3" s="709">
        <v>-0.5</v>
      </c>
      <c r="O3" s="709">
        <v>-0.5</v>
      </c>
      <c r="P3" s="709">
        <v>-0.5</v>
      </c>
      <c r="Q3" s="709">
        <v>-0.5</v>
      </c>
      <c r="R3" s="708">
        <v>-0.5</v>
      </c>
    </row>
    <row r="4" spans="1:18" x14ac:dyDescent="0.2">
      <c r="A4" s="553">
        <v>1</v>
      </c>
      <c r="B4" s="707">
        <f>SQRT((B$2-1)/B$2)</f>
        <v>0.70710678118654757</v>
      </c>
      <c r="C4" s="703">
        <f t="shared" ref="C4:I4" si="1">-1/SQRT((C$2-1)*C$2)</f>
        <v>-0.40824829046386307</v>
      </c>
      <c r="D4" s="703">
        <f t="shared" si="1"/>
        <v>-0.28867513459481292</v>
      </c>
      <c r="E4" s="703">
        <f t="shared" si="1"/>
        <v>-0.22360679774997896</v>
      </c>
      <c r="F4" s="703">
        <f t="shared" si="1"/>
        <v>-0.18257418583505536</v>
      </c>
      <c r="G4" s="703">
        <f t="shared" si="1"/>
        <v>-0.15430334996209191</v>
      </c>
      <c r="H4" s="703">
        <f t="shared" si="1"/>
        <v>-0.1336306209562122</v>
      </c>
      <c r="I4" s="703">
        <f t="shared" si="1"/>
        <v>-0.11785113019775793</v>
      </c>
      <c r="J4" s="702">
        <v>1</v>
      </c>
      <c r="K4" s="700">
        <v>-0.5</v>
      </c>
      <c r="L4" s="696">
        <v>2.5</v>
      </c>
      <c r="M4" s="701">
        <v>-0.5</v>
      </c>
      <c r="N4" s="701">
        <v>-0.5</v>
      </c>
      <c r="O4" s="701">
        <v>-0.5</v>
      </c>
      <c r="P4" s="701">
        <v>-0.5</v>
      </c>
      <c r="Q4" s="701">
        <v>-0.5</v>
      </c>
      <c r="R4" s="706">
        <v>-0.5</v>
      </c>
    </row>
    <row r="5" spans="1:18" x14ac:dyDescent="0.2">
      <c r="A5" s="553">
        <v>1</v>
      </c>
      <c r="B5" s="703">
        <v>0</v>
      </c>
      <c r="C5" s="704">
        <f>SQRT((C$2-1)/C$2)</f>
        <v>0.81649658092772603</v>
      </c>
      <c r="D5" s="703">
        <f t="shared" ref="D5:I5" si="2">-1/SQRT((D$2-1)*D$2)</f>
        <v>-0.28867513459481292</v>
      </c>
      <c r="E5" s="703">
        <f t="shared" si="2"/>
        <v>-0.22360679774997896</v>
      </c>
      <c r="F5" s="703">
        <f t="shared" si="2"/>
        <v>-0.18257418583505536</v>
      </c>
      <c r="G5" s="703">
        <f t="shared" si="2"/>
        <v>-0.15430334996209191</v>
      </c>
      <c r="H5" s="703">
        <f t="shared" si="2"/>
        <v>-0.1336306209562122</v>
      </c>
      <c r="I5" s="703">
        <f t="shared" si="2"/>
        <v>-0.11785113019775793</v>
      </c>
      <c r="J5" s="702">
        <v>1</v>
      </c>
      <c r="K5" s="701">
        <v>-0.5</v>
      </c>
      <c r="L5" s="700">
        <f>K4</f>
        <v>-0.5</v>
      </c>
      <c r="M5" s="696">
        <v>2.5</v>
      </c>
      <c r="N5" s="701">
        <v>-0.5</v>
      </c>
      <c r="O5" s="701">
        <v>-0.5</v>
      </c>
      <c r="P5" s="701">
        <v>-0.5</v>
      </c>
      <c r="Q5" s="701">
        <v>-0.5</v>
      </c>
      <c r="R5" s="706">
        <v>-0.5</v>
      </c>
    </row>
    <row r="6" spans="1:18" x14ac:dyDescent="0.2">
      <c r="A6" s="553">
        <v>1</v>
      </c>
      <c r="B6" s="703">
        <v>0</v>
      </c>
      <c r="C6" s="703">
        <v>0</v>
      </c>
      <c r="D6" s="704">
        <f>SQRT((D$2-1)/D$2)</f>
        <v>0.8660254037844386</v>
      </c>
      <c r="E6" s="703">
        <f>-1/SQRT((E$2-1)*E$2)</f>
        <v>-0.22360679774997896</v>
      </c>
      <c r="F6" s="703">
        <f>-1/SQRT((F$2-1)*F$2)</f>
        <v>-0.18257418583505536</v>
      </c>
      <c r="G6" s="703">
        <f>-1/SQRT((G$2-1)*G$2)</f>
        <v>-0.15430334996209191</v>
      </c>
      <c r="H6" s="703">
        <f>-1/SQRT((H$2-1)*H$2)</f>
        <v>-0.1336306209562122</v>
      </c>
      <c r="I6" s="703">
        <f>-1/SQRT((I$2-1)*I$2)</f>
        <v>-0.11785113019775793</v>
      </c>
      <c r="J6" s="702">
        <v>1</v>
      </c>
      <c r="K6" s="701">
        <v>-0.5</v>
      </c>
      <c r="L6" s="701">
        <v>-0.5</v>
      </c>
      <c r="M6" s="700">
        <f>L5</f>
        <v>-0.5</v>
      </c>
      <c r="N6" s="696">
        <v>2.5</v>
      </c>
      <c r="O6" s="701">
        <v>-0.5</v>
      </c>
      <c r="P6" s="701">
        <v>-0.5</v>
      </c>
      <c r="Q6" s="701">
        <v>-0.5</v>
      </c>
      <c r="R6" s="706">
        <v>-0.5</v>
      </c>
    </row>
    <row r="7" spans="1:18" x14ac:dyDescent="0.2">
      <c r="A7" s="553">
        <v>1</v>
      </c>
      <c r="B7" s="703">
        <v>0</v>
      </c>
      <c r="C7" s="703">
        <v>0</v>
      </c>
      <c r="D7" s="703">
        <v>0</v>
      </c>
      <c r="E7" s="704">
        <f>SQRT((E$2-1)/E$2)</f>
        <v>0.89442719099991586</v>
      </c>
      <c r="F7" s="703">
        <f>-1/SQRT((F$2-1)*F$2)</f>
        <v>-0.18257418583505536</v>
      </c>
      <c r="G7" s="703">
        <f>-1/SQRT((G$2-1)*G$2)</f>
        <v>-0.15430334996209191</v>
      </c>
      <c r="H7" s="703">
        <f>-1/SQRT((H$2-1)*H$2)</f>
        <v>-0.1336306209562122</v>
      </c>
      <c r="I7" s="703">
        <f>-1/SQRT((I$2-1)*I$2)</f>
        <v>-0.11785113019775793</v>
      </c>
      <c r="J7" s="702">
        <v>1</v>
      </c>
      <c r="K7" s="701">
        <v>-0.5</v>
      </c>
      <c r="L7" s="701">
        <v>-0.5</v>
      </c>
      <c r="M7" s="701">
        <v>-0.5</v>
      </c>
      <c r="N7" s="700">
        <f>M6</f>
        <v>-0.5</v>
      </c>
      <c r="O7" s="696">
        <v>2.5</v>
      </c>
      <c r="P7" s="701">
        <v>-0.5</v>
      </c>
      <c r="Q7" s="701">
        <v>-0.5</v>
      </c>
      <c r="R7" s="706">
        <v>-0.5</v>
      </c>
    </row>
    <row r="8" spans="1:18" x14ac:dyDescent="0.2">
      <c r="A8" s="553">
        <v>1</v>
      </c>
      <c r="B8" s="703">
        <v>0</v>
      </c>
      <c r="C8" s="703">
        <v>0</v>
      </c>
      <c r="D8" s="703">
        <v>0</v>
      </c>
      <c r="E8" s="703">
        <v>0</v>
      </c>
      <c r="F8" s="704">
        <f>SQRT((F$2-1)/F$2)</f>
        <v>0.9128709291752769</v>
      </c>
      <c r="G8" s="703">
        <f>-1/SQRT((G$2-1)*G$2)</f>
        <v>-0.15430334996209191</v>
      </c>
      <c r="H8" s="703">
        <f>-1/SQRT((H$2-1)*H$2)</f>
        <v>-0.1336306209562122</v>
      </c>
      <c r="I8" s="703">
        <f>-1/SQRT((I$2-1)*I$2)</f>
        <v>-0.11785113019775793</v>
      </c>
      <c r="J8" s="702">
        <v>1</v>
      </c>
      <c r="K8" s="701">
        <v>-0.5</v>
      </c>
      <c r="L8" s="701">
        <v>-0.5</v>
      </c>
      <c r="M8" s="701">
        <v>-0.5</v>
      </c>
      <c r="N8" s="701">
        <v>-0.5</v>
      </c>
      <c r="O8" s="700">
        <f>N7</f>
        <v>-0.5</v>
      </c>
      <c r="P8" s="699">
        <v>2.5</v>
      </c>
      <c r="Q8" s="700">
        <v>-0.5</v>
      </c>
      <c r="R8" s="705">
        <v>-0.5</v>
      </c>
    </row>
    <row r="9" spans="1:18" x14ac:dyDescent="0.2">
      <c r="A9" s="553">
        <v>1</v>
      </c>
      <c r="B9" s="703">
        <v>0</v>
      </c>
      <c r="C9" s="703">
        <v>0</v>
      </c>
      <c r="D9" s="703">
        <v>0</v>
      </c>
      <c r="E9" s="703">
        <v>0</v>
      </c>
      <c r="F9" s="703">
        <v>0</v>
      </c>
      <c r="G9" s="704">
        <f>SQRT((G$2-1)/G$2)</f>
        <v>0.92582009977255142</v>
      </c>
      <c r="H9" s="703">
        <f>-1/SQRT((H$2-1)*H$2)</f>
        <v>-0.1336306209562122</v>
      </c>
      <c r="I9" s="703">
        <f>-1/SQRT((I$2-1)*I$2)</f>
        <v>-0.11785113019775793</v>
      </c>
      <c r="J9" s="702">
        <v>1</v>
      </c>
      <c r="K9" s="701">
        <v>-0.5</v>
      </c>
      <c r="L9" s="701">
        <v>-0.5</v>
      </c>
      <c r="M9" s="701">
        <v>-0.5</v>
      </c>
      <c r="N9" s="701">
        <v>-0.5</v>
      </c>
      <c r="O9" s="700">
        <v>-0.5</v>
      </c>
      <c r="P9" s="700">
        <f>O8</f>
        <v>-0.5</v>
      </c>
      <c r="Q9" s="699">
        <v>2.5</v>
      </c>
      <c r="R9" s="705">
        <v>-0.5</v>
      </c>
    </row>
    <row r="10" spans="1:18" x14ac:dyDescent="0.2">
      <c r="A10" s="553">
        <v>1</v>
      </c>
      <c r="B10" s="703">
        <v>0</v>
      </c>
      <c r="C10" s="703">
        <v>0</v>
      </c>
      <c r="D10" s="703">
        <v>0</v>
      </c>
      <c r="E10" s="703">
        <v>0</v>
      </c>
      <c r="F10" s="703">
        <v>0</v>
      </c>
      <c r="G10" s="703">
        <v>0</v>
      </c>
      <c r="H10" s="704">
        <f>SQRT((H$2-1)/H$2)</f>
        <v>0.93541434669348533</v>
      </c>
      <c r="I10" s="703">
        <f>-1/SQRT((I$2-1)*I$2)</f>
        <v>-0.11785113019775793</v>
      </c>
      <c r="J10" s="702">
        <v>1</v>
      </c>
      <c r="K10" s="701">
        <v>-0.5</v>
      </c>
      <c r="L10" s="701">
        <v>-0.5</v>
      </c>
      <c r="M10" s="701">
        <v>-0.5</v>
      </c>
      <c r="N10" s="701">
        <v>-0.5</v>
      </c>
      <c r="O10" s="700">
        <v>-0.5</v>
      </c>
      <c r="P10" s="700">
        <v>-0.5</v>
      </c>
      <c r="Q10" s="700">
        <f>P9</f>
        <v>-0.5</v>
      </c>
      <c r="R10" s="699">
        <v>2.5</v>
      </c>
    </row>
    <row r="11" spans="1:18" x14ac:dyDescent="0.2">
      <c r="A11" s="552">
        <v>1</v>
      </c>
      <c r="B11" s="698">
        <v>0</v>
      </c>
      <c r="C11" s="698">
        <v>0</v>
      </c>
      <c r="D11" s="698">
        <v>0</v>
      </c>
      <c r="E11" s="698">
        <v>0</v>
      </c>
      <c r="F11" s="698">
        <v>0</v>
      </c>
      <c r="G11" s="698">
        <v>0</v>
      </c>
      <c r="H11" s="698">
        <v>0</v>
      </c>
      <c r="I11" s="697">
        <f>SQRT((I$2-1)/I$2)</f>
        <v>0.94280904158206336</v>
      </c>
      <c r="J11" s="696">
        <v>1</v>
      </c>
      <c r="K11" s="695">
        <v>1</v>
      </c>
      <c r="L11" s="694">
        <v>1</v>
      </c>
      <c r="M11" s="694">
        <v>1</v>
      </c>
      <c r="N11" s="694">
        <v>1</v>
      </c>
      <c r="O11" s="693">
        <v>1</v>
      </c>
      <c r="P11" s="693">
        <v>1</v>
      </c>
      <c r="Q11" s="693">
        <v>1</v>
      </c>
      <c r="R11" s="692">
        <v>1</v>
      </c>
    </row>
    <row r="12" spans="1:18" ht="18" x14ac:dyDescent="0.2">
      <c r="A12" s="1371" t="s">
        <v>297</v>
      </c>
      <c r="B12" s="1358"/>
      <c r="C12" s="1358"/>
      <c r="D12" s="1358"/>
      <c r="E12" s="1358"/>
      <c r="F12" s="1358"/>
      <c r="G12" s="1358"/>
      <c r="H12" s="1358"/>
      <c r="I12" s="1359"/>
      <c r="J12" s="1371" t="s">
        <v>296</v>
      </c>
      <c r="K12" s="1358"/>
      <c r="L12" s="1358"/>
      <c r="M12" s="1358"/>
      <c r="N12" s="1358"/>
      <c r="O12" s="1358"/>
      <c r="P12" s="1358"/>
      <c r="Q12" s="1358"/>
      <c r="R12" s="1359"/>
    </row>
    <row r="13" spans="1:18" x14ac:dyDescent="0.2">
      <c r="A13" s="555">
        <f t="array" ref="A13:I21">MMULT(TRANSPOSE(A3:I11),A3:I11)</f>
        <v>9</v>
      </c>
      <c r="B13" s="88">
        <v>1.1102230246251565E-16</v>
      </c>
      <c r="C13" s="88">
        <v>-1.1102230246251565E-16</v>
      </c>
      <c r="D13" s="88">
        <v>-2.2204460492503131E-16</v>
      </c>
      <c r="E13" s="88">
        <v>0</v>
      </c>
      <c r="F13" s="88">
        <v>1.1102230246251565E-16</v>
      </c>
      <c r="G13" s="88">
        <v>-1.1102230246251565E-16</v>
      </c>
      <c r="H13" s="88">
        <v>1.1102230246251565E-16</v>
      </c>
      <c r="I13" s="1">
        <v>-1.1102230246251565E-16</v>
      </c>
      <c r="J13" s="555">
        <f t="array" ref="J13:R21">MMULT(TRANSPOSE(J3:R11),J3:R11)</f>
        <v>9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90">
        <v>0</v>
      </c>
    </row>
    <row r="14" spans="1:18" x14ac:dyDescent="0.2">
      <c r="A14" s="455">
        <v>1.1102230246251565E-16</v>
      </c>
      <c r="B14" s="555">
        <v>1</v>
      </c>
      <c r="C14" s="1">
        <v>0</v>
      </c>
      <c r="D14" s="1">
        <v>-2.7755575615628914E-17</v>
      </c>
      <c r="E14" s="1">
        <v>-2.7755575615628914E-17</v>
      </c>
      <c r="F14" s="1">
        <v>0</v>
      </c>
      <c r="G14" s="1">
        <v>-1.3877787807814457E-17</v>
      </c>
      <c r="H14" s="1">
        <v>-1.3877787807814457E-17</v>
      </c>
      <c r="I14" s="90">
        <v>-1.3877787807814457E-17</v>
      </c>
      <c r="J14" s="455">
        <v>0</v>
      </c>
      <c r="K14" s="555">
        <v>9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90">
        <v>0</v>
      </c>
    </row>
    <row r="15" spans="1:18" x14ac:dyDescent="0.2">
      <c r="A15" s="455">
        <v>-1.1102230246251565E-16</v>
      </c>
      <c r="B15" s="1">
        <v>0</v>
      </c>
      <c r="C15" s="555">
        <v>1</v>
      </c>
      <c r="D15" s="1">
        <v>2.7755575615628914E-17</v>
      </c>
      <c r="E15" s="1">
        <v>2.7755575615628914E-17</v>
      </c>
      <c r="F15" s="1">
        <v>2.7755575615628914E-17</v>
      </c>
      <c r="G15" s="1">
        <v>0</v>
      </c>
      <c r="H15" s="1">
        <v>1.3877787807814457E-17</v>
      </c>
      <c r="I15" s="90">
        <v>1.3877787807814457E-17</v>
      </c>
      <c r="J15" s="455">
        <v>0</v>
      </c>
      <c r="K15" s="1">
        <v>0</v>
      </c>
      <c r="L15" s="555">
        <v>9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90">
        <v>0</v>
      </c>
    </row>
    <row r="16" spans="1:18" x14ac:dyDescent="0.2">
      <c r="A16" s="455">
        <v>-2.2204460492503131E-16</v>
      </c>
      <c r="B16" s="1">
        <v>-2.7755575615628914E-17</v>
      </c>
      <c r="C16" s="1">
        <v>2.7755575615628914E-17</v>
      </c>
      <c r="D16" s="555">
        <v>1</v>
      </c>
      <c r="E16" s="1">
        <v>2.7755575615628914E-17</v>
      </c>
      <c r="F16" s="1">
        <v>5.5511151231257827E-17</v>
      </c>
      <c r="G16" s="1">
        <v>0</v>
      </c>
      <c r="H16" s="1">
        <v>2.7755575615628914E-17</v>
      </c>
      <c r="I16" s="90">
        <v>2.7755575615628914E-17</v>
      </c>
      <c r="J16" s="455">
        <v>0</v>
      </c>
      <c r="K16" s="1">
        <v>0</v>
      </c>
      <c r="L16" s="1">
        <v>0</v>
      </c>
      <c r="M16" s="555">
        <v>9</v>
      </c>
      <c r="N16" s="1">
        <v>0</v>
      </c>
      <c r="O16" s="1">
        <v>0</v>
      </c>
      <c r="P16" s="1">
        <v>0</v>
      </c>
      <c r="Q16" s="1">
        <v>0</v>
      </c>
      <c r="R16" s="90">
        <v>0</v>
      </c>
    </row>
    <row r="17" spans="1:18" x14ac:dyDescent="0.2">
      <c r="A17" s="455">
        <v>0</v>
      </c>
      <c r="B17" s="1">
        <v>-2.7755575615628914E-17</v>
      </c>
      <c r="C17" s="1">
        <v>2.7755575615628914E-17</v>
      </c>
      <c r="D17" s="1">
        <v>2.7755575615628914E-17</v>
      </c>
      <c r="E17" s="555">
        <v>0.99999999999999989</v>
      </c>
      <c r="F17" s="1">
        <v>0</v>
      </c>
      <c r="G17" s="1">
        <v>0</v>
      </c>
      <c r="H17" s="1">
        <v>0</v>
      </c>
      <c r="I17" s="90">
        <v>0</v>
      </c>
      <c r="J17" s="455">
        <v>0</v>
      </c>
      <c r="K17" s="1">
        <v>0</v>
      </c>
      <c r="L17" s="1">
        <v>0</v>
      </c>
      <c r="M17" s="1">
        <v>0</v>
      </c>
      <c r="N17" s="555">
        <v>9</v>
      </c>
      <c r="O17" s="1">
        <v>0</v>
      </c>
      <c r="P17" s="1">
        <v>0</v>
      </c>
      <c r="Q17" s="1">
        <v>0</v>
      </c>
      <c r="R17" s="90">
        <v>0</v>
      </c>
    </row>
    <row r="18" spans="1:18" x14ac:dyDescent="0.2">
      <c r="A18" s="455">
        <v>1.1102230246251565E-16</v>
      </c>
      <c r="B18" s="1">
        <v>0</v>
      </c>
      <c r="C18" s="1">
        <v>2.7755575615628914E-17</v>
      </c>
      <c r="D18" s="1">
        <v>5.5511151231257827E-17</v>
      </c>
      <c r="E18" s="1">
        <v>0</v>
      </c>
      <c r="F18" s="555">
        <v>1</v>
      </c>
      <c r="G18" s="1">
        <v>-2.7755575615628914E-17</v>
      </c>
      <c r="H18" s="1">
        <v>-1.3877787807814457E-17</v>
      </c>
      <c r="I18" s="90">
        <v>-1.3877787807814457E-17</v>
      </c>
      <c r="J18" s="455">
        <v>0</v>
      </c>
      <c r="K18" s="1">
        <v>0</v>
      </c>
      <c r="L18" s="1">
        <v>0</v>
      </c>
      <c r="M18" s="1">
        <v>0</v>
      </c>
      <c r="N18" s="1">
        <v>0</v>
      </c>
      <c r="O18" s="555">
        <v>9</v>
      </c>
      <c r="P18" s="1">
        <v>0</v>
      </c>
      <c r="Q18" s="1">
        <v>0</v>
      </c>
      <c r="R18" s="90">
        <v>0</v>
      </c>
    </row>
    <row r="19" spans="1:18" x14ac:dyDescent="0.2">
      <c r="A19" s="455">
        <v>-1.1102230246251565E-16</v>
      </c>
      <c r="B19" s="1">
        <v>-1.3877787807814457E-17</v>
      </c>
      <c r="C19" s="1">
        <v>0</v>
      </c>
      <c r="D19" s="1">
        <v>0</v>
      </c>
      <c r="E19" s="1">
        <v>0</v>
      </c>
      <c r="F19" s="1">
        <v>-2.7755575615628914E-17</v>
      </c>
      <c r="G19" s="555">
        <v>1</v>
      </c>
      <c r="H19" s="1">
        <v>1.3877787807814457E-17</v>
      </c>
      <c r="I19" s="90">
        <v>1.3877787807814457E-17</v>
      </c>
      <c r="J19" s="455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555">
        <v>9</v>
      </c>
      <c r="Q19" s="1">
        <v>0</v>
      </c>
      <c r="R19" s="90">
        <v>0</v>
      </c>
    </row>
    <row r="20" spans="1:18" x14ac:dyDescent="0.2">
      <c r="A20" s="455">
        <v>1.1102230246251565E-16</v>
      </c>
      <c r="B20" s="1">
        <v>-1.3877787807814457E-17</v>
      </c>
      <c r="C20" s="1">
        <v>1.3877787807814457E-17</v>
      </c>
      <c r="D20" s="1">
        <v>2.7755575615628914E-17</v>
      </c>
      <c r="E20" s="1">
        <v>0</v>
      </c>
      <c r="F20" s="1">
        <v>-1.3877787807814457E-17</v>
      </c>
      <c r="G20" s="1">
        <v>1.3877787807814457E-17</v>
      </c>
      <c r="H20" s="555">
        <v>1</v>
      </c>
      <c r="I20" s="90">
        <v>-2.7755575615628914E-17</v>
      </c>
      <c r="J20" s="455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555">
        <v>9</v>
      </c>
      <c r="R20" s="90">
        <v>0</v>
      </c>
    </row>
    <row r="21" spans="1:18" x14ac:dyDescent="0.2">
      <c r="A21" s="106">
        <v>-1.1102230246251565E-16</v>
      </c>
      <c r="B21" s="76">
        <v>-1.3877787807814457E-17</v>
      </c>
      <c r="C21" s="76">
        <v>1.3877787807814457E-17</v>
      </c>
      <c r="D21" s="76">
        <v>2.7755575615628914E-17</v>
      </c>
      <c r="E21" s="76">
        <v>0</v>
      </c>
      <c r="F21" s="76">
        <v>-1.3877787807814457E-17</v>
      </c>
      <c r="G21" s="76">
        <v>1.3877787807814457E-17</v>
      </c>
      <c r="H21" s="76">
        <v>-2.7755575615628914E-17</v>
      </c>
      <c r="I21" s="555">
        <v>1</v>
      </c>
      <c r="J21" s="76">
        <v>0</v>
      </c>
      <c r="K21" s="76">
        <v>0</v>
      </c>
      <c r="L21" s="76">
        <v>0</v>
      </c>
      <c r="M21" s="76">
        <v>0</v>
      </c>
      <c r="N21" s="76">
        <v>0</v>
      </c>
      <c r="O21" s="76">
        <v>0</v>
      </c>
      <c r="P21" s="76">
        <v>0</v>
      </c>
      <c r="Q21" s="76">
        <v>0</v>
      </c>
      <c r="R21" s="555">
        <v>9</v>
      </c>
    </row>
  </sheetData>
  <mergeCells count="4">
    <mergeCell ref="A1:I1"/>
    <mergeCell ref="J1:R1"/>
    <mergeCell ref="A12:I12"/>
    <mergeCell ref="J12:R12"/>
  </mergeCells>
  <conditionalFormatting sqref="A13:R21">
    <cfRule type="cellIs" dxfId="55" priority="1" operator="between">
      <formula>-0.0001</formula>
      <formula>0.0001</formula>
    </cfRule>
  </conditionalFormatting>
  <conditionalFormatting sqref="J4:J11">
    <cfRule type="cellIs" dxfId="54" priority="10" operator="between">
      <formula>-0.0001</formula>
      <formula>0.0001</formula>
    </cfRule>
  </conditionalFormatting>
  <conditionalFormatting sqref="K3 A3:I11">
    <cfRule type="cellIs" dxfId="53" priority="11" operator="between">
      <formula>-0.0001</formula>
      <formula>0.0001</formula>
    </cfRule>
  </conditionalFormatting>
  <conditionalFormatting sqref="K5:K11">
    <cfRule type="cellIs" dxfId="52" priority="9" operator="between">
      <formula>-0.0001</formula>
      <formula>0.0001</formula>
    </cfRule>
  </conditionalFormatting>
  <conditionalFormatting sqref="L6:L11">
    <cfRule type="cellIs" dxfId="51" priority="4" operator="between">
      <formula>-0.0001</formula>
      <formula>0.0001</formula>
    </cfRule>
  </conditionalFormatting>
  <conditionalFormatting sqref="L3:R4">
    <cfRule type="cellIs" dxfId="50" priority="8" operator="between">
      <formula>-0.0001</formula>
      <formula>0.0001</formula>
    </cfRule>
  </conditionalFormatting>
  <conditionalFormatting sqref="M7:M11">
    <cfRule type="cellIs" dxfId="49" priority="3" operator="between">
      <formula>-0.0001</formula>
      <formula>0.0001</formula>
    </cfRule>
  </conditionalFormatting>
  <conditionalFormatting sqref="M5:R5">
    <cfRule type="cellIs" dxfId="48" priority="7" operator="between">
      <formula>-0.0001</formula>
      <formula>0.0001</formula>
    </cfRule>
  </conditionalFormatting>
  <conditionalFormatting sqref="N8:N11">
    <cfRule type="cellIs" dxfId="47" priority="2" operator="between">
      <formula>-0.0001</formula>
      <formula>0.0001</formula>
    </cfRule>
  </conditionalFormatting>
  <conditionalFormatting sqref="N6:R6">
    <cfRule type="cellIs" dxfId="46" priority="6" operator="between">
      <formula>-0.0001</formula>
      <formula>0.0001</formula>
    </cfRule>
  </conditionalFormatting>
  <conditionalFormatting sqref="O7:R7">
    <cfRule type="cellIs" dxfId="45" priority="5" operator="between">
      <formula>-0.0001</formula>
      <formula>0.0001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89E5E-1EDA-47F2-B24D-069D13D93673}">
  <dimension ref="A1:AI33"/>
  <sheetViews>
    <sheetView zoomScaleNormal="100" workbookViewId="0">
      <selection activeCell="A33" sqref="A33"/>
    </sheetView>
  </sheetViews>
  <sheetFormatPr baseColWidth="10" defaultColWidth="6.83203125" defaultRowHeight="16" x14ac:dyDescent="0.2"/>
  <cols>
    <col min="1" max="7" width="6.83203125" style="94" customWidth="1"/>
    <col min="8" max="14" width="6.83203125" style="1" customWidth="1"/>
    <col min="15" max="29" width="6.83203125" customWidth="1"/>
    <col min="30" max="35" width="6.83203125" style="1" customWidth="1"/>
    <col min="36" max="16384" width="6.83203125" style="1"/>
  </cols>
  <sheetData>
    <row r="1" spans="1:35" ht="19" x14ac:dyDescent="0.25">
      <c r="A1" s="1357" t="s">
        <v>14</v>
      </c>
      <c r="B1" s="1346"/>
      <c r="C1" s="1346"/>
      <c r="D1" s="1346"/>
      <c r="E1" s="1346"/>
      <c r="F1" s="1346"/>
      <c r="G1" s="1360"/>
      <c r="H1" s="1314" t="s">
        <v>295</v>
      </c>
      <c r="I1" s="1315"/>
      <c r="J1" s="1315"/>
      <c r="K1" s="1315"/>
      <c r="L1" s="1315"/>
      <c r="M1" s="1315"/>
      <c r="N1" s="1316"/>
      <c r="O1" s="1357" t="s">
        <v>294</v>
      </c>
      <c r="P1" s="1346"/>
      <c r="Q1" s="1346"/>
      <c r="R1" s="1346"/>
      <c r="S1" s="1346"/>
      <c r="T1" s="1346"/>
      <c r="U1" s="1360"/>
      <c r="V1" s="1314" t="s">
        <v>293</v>
      </c>
      <c r="W1" s="1315"/>
      <c r="X1" s="1315"/>
      <c r="Y1" s="1315"/>
      <c r="Z1" s="1315"/>
      <c r="AA1" s="1315"/>
      <c r="AB1" s="1316"/>
      <c r="AC1" s="1357" t="s">
        <v>292</v>
      </c>
      <c r="AD1" s="1346"/>
      <c r="AE1" s="1346"/>
      <c r="AF1" s="1346"/>
      <c r="AG1" s="1346"/>
      <c r="AH1" s="1346"/>
      <c r="AI1" s="1360"/>
    </row>
    <row r="2" spans="1:35" ht="19" x14ac:dyDescent="0.25">
      <c r="A2" s="524">
        <v>0</v>
      </c>
      <c r="B2" s="464" t="s">
        <v>267</v>
      </c>
      <c r="C2" s="464" t="s">
        <v>266</v>
      </c>
      <c r="D2" s="464" t="s">
        <v>274</v>
      </c>
      <c r="E2" s="524" t="s">
        <v>1</v>
      </c>
      <c r="F2" s="669" t="s">
        <v>272</v>
      </c>
      <c r="G2" s="669" t="s">
        <v>273</v>
      </c>
      <c r="H2" s="631" t="s">
        <v>291</v>
      </c>
      <c r="I2" s="676" t="s">
        <v>290</v>
      </c>
      <c r="J2" s="676" t="s">
        <v>289</v>
      </c>
      <c r="K2" s="631" t="s">
        <v>288</v>
      </c>
      <c r="L2" s="631" t="s">
        <v>287</v>
      </c>
      <c r="M2" s="676" t="s">
        <v>286</v>
      </c>
      <c r="N2" s="667" t="s">
        <v>285</v>
      </c>
      <c r="O2" s="7">
        <v>0</v>
      </c>
      <c r="P2" s="464" t="s">
        <v>267</v>
      </c>
      <c r="Q2" s="464" t="s">
        <v>266</v>
      </c>
      <c r="R2" s="464" t="s">
        <v>274</v>
      </c>
      <c r="S2" s="524" t="s">
        <v>1</v>
      </c>
      <c r="T2" s="464" t="s">
        <v>286</v>
      </c>
      <c r="U2" s="454" t="s">
        <v>285</v>
      </c>
      <c r="V2" s="2">
        <v>0</v>
      </c>
      <c r="W2" s="676" t="s">
        <v>267</v>
      </c>
      <c r="X2" s="676" t="s">
        <v>266</v>
      </c>
      <c r="Y2" s="676" t="s">
        <v>274</v>
      </c>
      <c r="Z2" s="631" t="s">
        <v>1</v>
      </c>
      <c r="AA2" s="676" t="s">
        <v>286</v>
      </c>
      <c r="AB2" s="667" t="s">
        <v>285</v>
      </c>
      <c r="AC2" s="7">
        <v>0</v>
      </c>
      <c r="AD2" s="464" t="s">
        <v>267</v>
      </c>
      <c r="AE2" s="464" t="s">
        <v>266</v>
      </c>
      <c r="AF2" s="464" t="s">
        <v>274</v>
      </c>
      <c r="AG2" s="524" t="s">
        <v>1</v>
      </c>
      <c r="AH2" s="464" t="s">
        <v>286</v>
      </c>
      <c r="AI2" s="454" t="s">
        <v>285</v>
      </c>
    </row>
    <row r="3" spans="1:35" x14ac:dyDescent="0.2">
      <c r="A3" s="554">
        <v>1</v>
      </c>
      <c r="B3" s="682">
        <v>-1</v>
      </c>
      <c r="C3" s="682">
        <v>-1</v>
      </c>
      <c r="D3" s="682">
        <f t="shared" ref="D3:D8" si="0">B3*C3</f>
        <v>1</v>
      </c>
      <c r="E3" s="554">
        <v>-1</v>
      </c>
      <c r="F3" s="681">
        <f t="shared" ref="F3:F14" si="1">B3^2-2/3</f>
        <v>0.33333333333333337</v>
      </c>
      <c r="G3" s="680">
        <f t="shared" ref="G3:G14" si="2">C3^2-2/3</f>
        <v>0.33333333333333337</v>
      </c>
      <c r="H3" s="39" t="e">
        <f t="array" aca="1" ref="H3:N14" ca="1">MMULT(X,INV_S)</f>
        <v>#NAME?</v>
      </c>
      <c r="I3" s="40" t="e">
        <f ca="1"/>
        <v>#NAME?</v>
      </c>
      <c r="J3" s="40" t="e">
        <f ca="1"/>
        <v>#NAME?</v>
      </c>
      <c r="K3" s="39" t="e">
        <f ca="1"/>
        <v>#NAME?</v>
      </c>
      <c r="L3" s="39" t="e">
        <f ca="1"/>
        <v>#NAME?</v>
      </c>
      <c r="M3" s="500" t="e">
        <f ca="1"/>
        <v>#NAME?</v>
      </c>
      <c r="N3" s="683" t="e">
        <f ca="1"/>
        <v>#NAME?</v>
      </c>
      <c r="O3" s="38" t="e">
        <f t="array" aca="1" ref="O3:U14" ca="1">MMULT(X,INV_S1)</f>
        <v>#NAME?</v>
      </c>
      <c r="P3" s="682" t="e">
        <f ca="1"/>
        <v>#NAME?</v>
      </c>
      <c r="Q3" s="682" t="e">
        <f ca="1"/>
        <v>#NAME?</v>
      </c>
      <c r="R3" s="682" t="e">
        <f ca="1"/>
        <v>#NAME?</v>
      </c>
      <c r="S3" s="554" t="e">
        <f ca="1"/>
        <v>#NAME?</v>
      </c>
      <c r="T3" s="681" t="e">
        <f ca="1"/>
        <v>#NAME?</v>
      </c>
      <c r="U3" s="680" t="e">
        <f ca="1"/>
        <v>#NAME?</v>
      </c>
      <c r="V3" s="87" t="e">
        <f t="array" aca="1" ref="V3:AB14" ca="1">MMULT(X,INV_S2)</f>
        <v>#NAME?</v>
      </c>
      <c r="W3" s="40" t="e">
        <f ca="1"/>
        <v>#NAME?</v>
      </c>
      <c r="X3" s="40" t="e">
        <f ca="1"/>
        <v>#NAME?</v>
      </c>
      <c r="Y3" s="40" t="e">
        <f ca="1"/>
        <v>#NAME?</v>
      </c>
      <c r="Z3" s="39" t="e">
        <f ca="1"/>
        <v>#NAME?</v>
      </c>
      <c r="AA3" s="500" t="e">
        <f ca="1"/>
        <v>#NAME?</v>
      </c>
      <c r="AB3" s="683" t="e">
        <f ca="1"/>
        <v>#NAME?</v>
      </c>
      <c r="AC3" s="38" t="e">
        <f t="array" aca="1" ref="AC3:AI14" ca="1">MMULT(X,INV_S3)</f>
        <v>#NAME?</v>
      </c>
      <c r="AD3" s="682" t="e">
        <f ca="1"/>
        <v>#NAME?</v>
      </c>
      <c r="AE3" s="682" t="e">
        <f ca="1"/>
        <v>#NAME?</v>
      </c>
      <c r="AF3" s="682" t="e">
        <f ca="1"/>
        <v>#NAME?</v>
      </c>
      <c r="AG3" s="554" t="e">
        <f ca="1"/>
        <v>#NAME?</v>
      </c>
      <c r="AH3" s="681" t="e">
        <f ca="1"/>
        <v>#NAME?</v>
      </c>
      <c r="AI3" s="680" t="e">
        <f ca="1"/>
        <v>#NAME?</v>
      </c>
    </row>
    <row r="4" spans="1:35" x14ac:dyDescent="0.2">
      <c r="A4" s="553">
        <v>1</v>
      </c>
      <c r="B4" s="673">
        <v>-1</v>
      </c>
      <c r="C4" s="673">
        <v>1</v>
      </c>
      <c r="D4" s="673">
        <f t="shared" si="0"/>
        <v>-1</v>
      </c>
      <c r="E4" s="553">
        <v>-1</v>
      </c>
      <c r="F4" s="686">
        <f t="shared" si="1"/>
        <v>0.33333333333333337</v>
      </c>
      <c r="G4" s="685">
        <f t="shared" si="2"/>
        <v>0.33333333333333337</v>
      </c>
      <c r="H4" s="448" t="e">
        <f ca="1"/>
        <v>#NAME?</v>
      </c>
      <c r="I4" s="94" t="e">
        <f ca="1"/>
        <v>#NAME?</v>
      </c>
      <c r="J4" s="94" t="e">
        <f ca="1"/>
        <v>#NAME?</v>
      </c>
      <c r="K4" s="448" t="e">
        <f ca="1"/>
        <v>#NAME?</v>
      </c>
      <c r="L4" s="448" t="e">
        <f ca="1"/>
        <v>#NAME?</v>
      </c>
      <c r="M4" s="499" t="e">
        <f ca="1"/>
        <v>#NAME?</v>
      </c>
      <c r="N4" s="688" t="e">
        <f ca="1"/>
        <v>#NAME?</v>
      </c>
      <c r="O4" s="34" t="e">
        <f ca="1"/>
        <v>#NAME?</v>
      </c>
      <c r="P4" s="673" t="e">
        <f ca="1"/>
        <v>#NAME?</v>
      </c>
      <c r="Q4" s="673" t="e">
        <f ca="1"/>
        <v>#NAME?</v>
      </c>
      <c r="R4" s="673" t="e">
        <f ca="1"/>
        <v>#NAME?</v>
      </c>
      <c r="S4" s="553" t="e">
        <f ca="1"/>
        <v>#NAME?</v>
      </c>
      <c r="T4" s="686" t="e">
        <f ca="1"/>
        <v>#NAME?</v>
      </c>
      <c r="U4" s="685" t="e">
        <f ca="1"/>
        <v>#NAME?</v>
      </c>
      <c r="V4" s="89" t="e">
        <f ca="1"/>
        <v>#NAME?</v>
      </c>
      <c r="W4" s="94" t="e">
        <f ca="1"/>
        <v>#NAME?</v>
      </c>
      <c r="X4" s="94" t="e">
        <f ca="1"/>
        <v>#NAME?</v>
      </c>
      <c r="Y4" s="94" t="e">
        <f ca="1"/>
        <v>#NAME?</v>
      </c>
      <c r="Z4" s="448" t="e">
        <f ca="1"/>
        <v>#NAME?</v>
      </c>
      <c r="AA4" s="499" t="e">
        <f ca="1"/>
        <v>#NAME?</v>
      </c>
      <c r="AB4" s="688" t="e">
        <f ca="1"/>
        <v>#NAME?</v>
      </c>
      <c r="AC4" s="34" t="e">
        <f ca="1"/>
        <v>#NAME?</v>
      </c>
      <c r="AD4" s="673" t="e">
        <f ca="1"/>
        <v>#NAME?</v>
      </c>
      <c r="AE4" s="673" t="e">
        <f ca="1"/>
        <v>#NAME?</v>
      </c>
      <c r="AF4" s="673" t="e">
        <f ca="1"/>
        <v>#NAME?</v>
      </c>
      <c r="AG4" s="553" t="e">
        <f ca="1"/>
        <v>#NAME?</v>
      </c>
      <c r="AH4" s="686" t="e">
        <f ca="1"/>
        <v>#NAME?</v>
      </c>
      <c r="AI4" s="685" t="e">
        <f ca="1"/>
        <v>#NAME?</v>
      </c>
    </row>
    <row r="5" spans="1:35" x14ac:dyDescent="0.2">
      <c r="A5" s="553">
        <v>1</v>
      </c>
      <c r="B5" s="673">
        <v>1</v>
      </c>
      <c r="C5" s="673">
        <v>-1</v>
      </c>
      <c r="D5" s="673">
        <f t="shared" si="0"/>
        <v>-1</v>
      </c>
      <c r="E5" s="553">
        <v>-1</v>
      </c>
      <c r="F5" s="686">
        <f t="shared" si="1"/>
        <v>0.33333333333333337</v>
      </c>
      <c r="G5" s="685">
        <f t="shared" si="2"/>
        <v>0.33333333333333337</v>
      </c>
      <c r="H5" s="448" t="e">
        <f ca="1"/>
        <v>#NAME?</v>
      </c>
      <c r="I5" s="94" t="e">
        <f ca="1"/>
        <v>#NAME?</v>
      </c>
      <c r="J5" s="94" t="e">
        <f ca="1"/>
        <v>#NAME?</v>
      </c>
      <c r="K5" s="448" t="e">
        <f ca="1"/>
        <v>#NAME?</v>
      </c>
      <c r="L5" s="448" t="e">
        <f ca="1"/>
        <v>#NAME?</v>
      </c>
      <c r="M5" s="499" t="e">
        <f ca="1"/>
        <v>#NAME?</v>
      </c>
      <c r="N5" s="688" t="e">
        <f ca="1"/>
        <v>#NAME?</v>
      </c>
      <c r="O5" s="34" t="e">
        <f ca="1"/>
        <v>#NAME?</v>
      </c>
      <c r="P5" s="673" t="e">
        <f ca="1"/>
        <v>#NAME?</v>
      </c>
      <c r="Q5" s="673" t="e">
        <f ca="1"/>
        <v>#NAME?</v>
      </c>
      <c r="R5" s="673" t="e">
        <f ca="1"/>
        <v>#NAME?</v>
      </c>
      <c r="S5" s="553" t="e">
        <f ca="1"/>
        <v>#NAME?</v>
      </c>
      <c r="T5" s="686" t="e">
        <f ca="1"/>
        <v>#NAME?</v>
      </c>
      <c r="U5" s="685" t="e">
        <f ca="1"/>
        <v>#NAME?</v>
      </c>
      <c r="V5" s="89" t="e">
        <f ca="1"/>
        <v>#NAME?</v>
      </c>
      <c r="W5" s="94" t="e">
        <f ca="1"/>
        <v>#NAME?</v>
      </c>
      <c r="X5" s="94" t="e">
        <f ca="1"/>
        <v>#NAME?</v>
      </c>
      <c r="Y5" s="94" t="e">
        <f ca="1"/>
        <v>#NAME?</v>
      </c>
      <c r="Z5" s="448" t="e">
        <f ca="1"/>
        <v>#NAME?</v>
      </c>
      <c r="AA5" s="499" t="e">
        <f ca="1"/>
        <v>#NAME?</v>
      </c>
      <c r="AB5" s="688" t="e">
        <f ca="1"/>
        <v>#NAME?</v>
      </c>
      <c r="AC5" s="34" t="e">
        <f ca="1"/>
        <v>#NAME?</v>
      </c>
      <c r="AD5" s="673" t="e">
        <f ca="1"/>
        <v>#NAME?</v>
      </c>
      <c r="AE5" s="673" t="e">
        <f ca="1"/>
        <v>#NAME?</v>
      </c>
      <c r="AF5" s="673" t="e">
        <f ca="1"/>
        <v>#NAME?</v>
      </c>
      <c r="AG5" s="553" t="e">
        <f ca="1"/>
        <v>#NAME?</v>
      </c>
      <c r="AH5" s="686" t="e">
        <f ca="1"/>
        <v>#NAME?</v>
      </c>
      <c r="AI5" s="685" t="e">
        <f ca="1"/>
        <v>#NAME?</v>
      </c>
    </row>
    <row r="6" spans="1:35" x14ac:dyDescent="0.2">
      <c r="A6" s="552">
        <v>1</v>
      </c>
      <c r="B6" s="671">
        <v>1</v>
      </c>
      <c r="C6" s="671">
        <v>1</v>
      </c>
      <c r="D6" s="671">
        <f t="shared" si="0"/>
        <v>1</v>
      </c>
      <c r="E6" s="552">
        <v>-1</v>
      </c>
      <c r="F6" s="678">
        <f t="shared" si="1"/>
        <v>0.33333333333333337</v>
      </c>
      <c r="G6" s="677">
        <f t="shared" si="2"/>
        <v>0.33333333333333337</v>
      </c>
      <c r="H6" s="95" t="e">
        <f ca="1"/>
        <v>#NAME?</v>
      </c>
      <c r="I6" s="96" t="e">
        <f ca="1"/>
        <v>#NAME?</v>
      </c>
      <c r="J6" s="96" t="e">
        <f ca="1"/>
        <v>#NAME?</v>
      </c>
      <c r="K6" s="95" t="e">
        <f ca="1"/>
        <v>#NAME?</v>
      </c>
      <c r="L6" s="95" t="e">
        <f ca="1"/>
        <v>#NAME?</v>
      </c>
      <c r="M6" s="498" t="e">
        <f ca="1"/>
        <v>#NAME?</v>
      </c>
      <c r="N6" s="679" t="e">
        <f ca="1"/>
        <v>#NAME?</v>
      </c>
      <c r="O6" s="63" t="e">
        <f ca="1"/>
        <v>#NAME?</v>
      </c>
      <c r="P6" s="671" t="e">
        <f ca="1"/>
        <v>#NAME?</v>
      </c>
      <c r="Q6" s="671" t="e">
        <f ca="1"/>
        <v>#NAME?</v>
      </c>
      <c r="R6" s="671" t="e">
        <f ca="1"/>
        <v>#NAME?</v>
      </c>
      <c r="S6" s="552" t="e">
        <f ca="1"/>
        <v>#NAME?</v>
      </c>
      <c r="T6" s="678" t="e">
        <f ca="1"/>
        <v>#NAME?</v>
      </c>
      <c r="U6" s="677" t="e">
        <f ca="1"/>
        <v>#NAME?</v>
      </c>
      <c r="V6" s="75" t="e">
        <f ca="1"/>
        <v>#NAME?</v>
      </c>
      <c r="W6" s="96" t="e">
        <f ca="1"/>
        <v>#NAME?</v>
      </c>
      <c r="X6" s="96" t="e">
        <f ca="1"/>
        <v>#NAME?</v>
      </c>
      <c r="Y6" s="96" t="e">
        <f ca="1"/>
        <v>#NAME?</v>
      </c>
      <c r="Z6" s="95" t="e">
        <f ca="1"/>
        <v>#NAME?</v>
      </c>
      <c r="AA6" s="498" t="e">
        <f ca="1"/>
        <v>#NAME?</v>
      </c>
      <c r="AB6" s="679" t="e">
        <f ca="1"/>
        <v>#NAME?</v>
      </c>
      <c r="AC6" s="63" t="e">
        <f ca="1"/>
        <v>#NAME?</v>
      </c>
      <c r="AD6" s="671" t="e">
        <f ca="1"/>
        <v>#NAME?</v>
      </c>
      <c r="AE6" s="671" t="e">
        <f ca="1"/>
        <v>#NAME?</v>
      </c>
      <c r="AF6" s="671" t="e">
        <f ca="1"/>
        <v>#NAME?</v>
      </c>
      <c r="AG6" s="552" t="e">
        <f ca="1"/>
        <v>#NAME?</v>
      </c>
      <c r="AH6" s="678" t="e">
        <f ca="1"/>
        <v>#NAME?</v>
      </c>
      <c r="AI6" s="677" t="e">
        <f ca="1"/>
        <v>#NAME?</v>
      </c>
    </row>
    <row r="7" spans="1:35" x14ac:dyDescent="0.2">
      <c r="A7" s="554">
        <v>1</v>
      </c>
      <c r="B7" s="682">
        <v>0</v>
      </c>
      <c r="C7" s="682">
        <v>0</v>
      </c>
      <c r="D7" s="682">
        <f t="shared" si="0"/>
        <v>0</v>
      </c>
      <c r="E7" s="554">
        <v>-1</v>
      </c>
      <c r="F7" s="681">
        <f t="shared" si="1"/>
        <v>-0.66666666666666663</v>
      </c>
      <c r="G7" s="680">
        <f t="shared" si="2"/>
        <v>-0.66666666666666663</v>
      </c>
      <c r="H7" s="39" t="e">
        <f ca="1"/>
        <v>#NAME?</v>
      </c>
      <c r="I7" s="40" t="e">
        <f ca="1"/>
        <v>#NAME?</v>
      </c>
      <c r="J7" s="40" t="e">
        <f ca="1"/>
        <v>#NAME?</v>
      </c>
      <c r="K7" s="39" t="e">
        <f ca="1"/>
        <v>#NAME?</v>
      </c>
      <c r="L7" s="39" t="e">
        <f ca="1"/>
        <v>#NAME?</v>
      </c>
      <c r="M7" s="500" t="e">
        <f ca="1"/>
        <v>#NAME?</v>
      </c>
      <c r="N7" s="683" t="e">
        <f ca="1"/>
        <v>#NAME?</v>
      </c>
      <c r="O7" s="38" t="e">
        <f ca="1"/>
        <v>#NAME?</v>
      </c>
      <c r="P7" s="682" t="e">
        <f ca="1"/>
        <v>#NAME?</v>
      </c>
      <c r="Q7" s="682" t="e">
        <f ca="1"/>
        <v>#NAME?</v>
      </c>
      <c r="R7" s="682" t="e">
        <f ca="1"/>
        <v>#NAME?</v>
      </c>
      <c r="S7" s="554" t="e">
        <f ca="1"/>
        <v>#NAME?</v>
      </c>
      <c r="T7" s="681" t="e">
        <f ca="1"/>
        <v>#NAME?</v>
      </c>
      <c r="U7" s="680" t="e">
        <f ca="1"/>
        <v>#NAME?</v>
      </c>
      <c r="V7" s="87" t="e">
        <f ca="1"/>
        <v>#NAME?</v>
      </c>
      <c r="W7" s="40" t="e">
        <f ca="1"/>
        <v>#NAME?</v>
      </c>
      <c r="X7" s="40" t="e">
        <f ca="1"/>
        <v>#NAME?</v>
      </c>
      <c r="Y7" s="40" t="e">
        <f ca="1"/>
        <v>#NAME?</v>
      </c>
      <c r="Z7" s="39" t="e">
        <f ca="1"/>
        <v>#NAME?</v>
      </c>
      <c r="AA7" s="500" t="e">
        <f ca="1"/>
        <v>#NAME?</v>
      </c>
      <c r="AB7" s="683" t="e">
        <f ca="1"/>
        <v>#NAME?</v>
      </c>
      <c r="AC7" s="38" t="e">
        <f ca="1"/>
        <v>#NAME?</v>
      </c>
      <c r="AD7" s="682" t="e">
        <f ca="1"/>
        <v>#NAME?</v>
      </c>
      <c r="AE7" s="682" t="e">
        <f ca="1"/>
        <v>#NAME?</v>
      </c>
      <c r="AF7" s="682" t="e">
        <f ca="1"/>
        <v>#NAME?</v>
      </c>
      <c r="AG7" s="554" t="e">
        <f ca="1"/>
        <v>#NAME?</v>
      </c>
      <c r="AH7" s="681" t="e">
        <f ca="1"/>
        <v>#NAME?</v>
      </c>
      <c r="AI7" s="680" t="e">
        <f ca="1"/>
        <v>#NAME?</v>
      </c>
    </row>
    <row r="8" spans="1:35" x14ac:dyDescent="0.2">
      <c r="A8" s="552">
        <v>1</v>
      </c>
      <c r="B8" s="671">
        <v>0</v>
      </c>
      <c r="C8" s="671">
        <v>0</v>
      </c>
      <c r="D8" s="671">
        <f t="shared" si="0"/>
        <v>0</v>
      </c>
      <c r="E8" s="552">
        <v>-1</v>
      </c>
      <c r="F8" s="678">
        <f t="shared" si="1"/>
        <v>-0.66666666666666663</v>
      </c>
      <c r="G8" s="677">
        <f t="shared" si="2"/>
        <v>-0.66666666666666663</v>
      </c>
      <c r="H8" s="95" t="e">
        <f ca="1"/>
        <v>#NAME?</v>
      </c>
      <c r="I8" s="96" t="e">
        <f ca="1"/>
        <v>#NAME?</v>
      </c>
      <c r="J8" s="96" t="e">
        <f ca="1"/>
        <v>#NAME?</v>
      </c>
      <c r="K8" s="95" t="e">
        <f ca="1"/>
        <v>#NAME?</v>
      </c>
      <c r="L8" s="95" t="e">
        <f ca="1"/>
        <v>#NAME?</v>
      </c>
      <c r="M8" s="498" t="e">
        <f ca="1"/>
        <v>#NAME?</v>
      </c>
      <c r="N8" s="679" t="e">
        <f ca="1"/>
        <v>#NAME?</v>
      </c>
      <c r="O8" s="63" t="e">
        <f ca="1"/>
        <v>#NAME?</v>
      </c>
      <c r="P8" s="671" t="e">
        <f ca="1"/>
        <v>#NAME?</v>
      </c>
      <c r="Q8" s="671" t="e">
        <f ca="1"/>
        <v>#NAME?</v>
      </c>
      <c r="R8" s="671" t="e">
        <f ca="1"/>
        <v>#NAME?</v>
      </c>
      <c r="S8" s="552" t="e">
        <f ca="1"/>
        <v>#NAME?</v>
      </c>
      <c r="T8" s="678" t="e">
        <f ca="1"/>
        <v>#NAME?</v>
      </c>
      <c r="U8" s="677" t="e">
        <f ca="1"/>
        <v>#NAME?</v>
      </c>
      <c r="V8" s="75" t="e">
        <f ca="1"/>
        <v>#NAME?</v>
      </c>
      <c r="W8" s="96" t="e">
        <f ca="1"/>
        <v>#NAME?</v>
      </c>
      <c r="X8" s="96" t="e">
        <f ca="1"/>
        <v>#NAME?</v>
      </c>
      <c r="Y8" s="96" t="e">
        <f ca="1"/>
        <v>#NAME?</v>
      </c>
      <c r="Z8" s="95" t="e">
        <f ca="1"/>
        <v>#NAME?</v>
      </c>
      <c r="AA8" s="498" t="e">
        <f ca="1"/>
        <v>#NAME?</v>
      </c>
      <c r="AB8" s="679" t="e">
        <f ca="1"/>
        <v>#NAME?</v>
      </c>
      <c r="AC8" s="63" t="e">
        <f ca="1"/>
        <v>#NAME?</v>
      </c>
      <c r="AD8" s="671" t="e">
        <f ca="1"/>
        <v>#NAME?</v>
      </c>
      <c r="AE8" s="671" t="e">
        <f ca="1"/>
        <v>#NAME?</v>
      </c>
      <c r="AF8" s="671" t="e">
        <f ca="1"/>
        <v>#NAME?</v>
      </c>
      <c r="AG8" s="552" t="e">
        <f ca="1"/>
        <v>#NAME?</v>
      </c>
      <c r="AH8" s="678" t="e">
        <f ca="1"/>
        <v>#NAME?</v>
      </c>
      <c r="AI8" s="677" t="e">
        <f ca="1"/>
        <v>#NAME?</v>
      </c>
    </row>
    <row r="9" spans="1:35" x14ac:dyDescent="0.2">
      <c r="A9" s="554">
        <v>1</v>
      </c>
      <c r="B9" s="691">
        <f>-SQRT(2)</f>
        <v>-1.4142135623730951</v>
      </c>
      <c r="C9" s="682">
        <v>0</v>
      </c>
      <c r="D9" s="682">
        <v>0</v>
      </c>
      <c r="E9" s="554">
        <v>1</v>
      </c>
      <c r="F9" s="681">
        <f t="shared" si="1"/>
        <v>1.3333333333333339</v>
      </c>
      <c r="G9" s="680">
        <f t="shared" si="2"/>
        <v>-0.66666666666666663</v>
      </c>
      <c r="H9" s="39" t="e">
        <f ca="1"/>
        <v>#NAME?</v>
      </c>
      <c r="I9" s="640" t="e">
        <f ca="1"/>
        <v>#NAME?</v>
      </c>
      <c r="J9" s="40" t="e">
        <f ca="1"/>
        <v>#NAME?</v>
      </c>
      <c r="K9" s="39" t="e">
        <f ca="1"/>
        <v>#NAME?</v>
      </c>
      <c r="L9" s="39" t="e">
        <f ca="1"/>
        <v>#NAME?</v>
      </c>
      <c r="M9" s="500" t="e">
        <f ca="1"/>
        <v>#NAME?</v>
      </c>
      <c r="N9" s="683" t="e">
        <f ca="1"/>
        <v>#NAME?</v>
      </c>
      <c r="O9" s="38" t="e">
        <f ca="1"/>
        <v>#NAME?</v>
      </c>
      <c r="P9" s="691" t="e">
        <f ca="1"/>
        <v>#NAME?</v>
      </c>
      <c r="Q9" s="682" t="e">
        <f ca="1"/>
        <v>#NAME?</v>
      </c>
      <c r="R9" s="682" t="e">
        <f ca="1"/>
        <v>#NAME?</v>
      </c>
      <c r="S9" s="554" t="e">
        <f ca="1"/>
        <v>#NAME?</v>
      </c>
      <c r="T9" s="681" t="e">
        <f ca="1"/>
        <v>#NAME?</v>
      </c>
      <c r="U9" s="680" t="e">
        <f ca="1"/>
        <v>#NAME?</v>
      </c>
      <c r="V9" s="87" t="e">
        <f ca="1"/>
        <v>#NAME?</v>
      </c>
      <c r="W9" s="640" t="e">
        <f ca="1"/>
        <v>#NAME?</v>
      </c>
      <c r="X9" s="40" t="e">
        <f ca="1"/>
        <v>#NAME?</v>
      </c>
      <c r="Y9" s="40" t="e">
        <f ca="1"/>
        <v>#NAME?</v>
      </c>
      <c r="Z9" s="39" t="e">
        <f ca="1"/>
        <v>#NAME?</v>
      </c>
      <c r="AA9" s="500" t="e">
        <f ca="1"/>
        <v>#NAME?</v>
      </c>
      <c r="AB9" s="683" t="e">
        <f ca="1"/>
        <v>#NAME?</v>
      </c>
      <c r="AC9" s="38" t="e">
        <f ca="1"/>
        <v>#NAME?</v>
      </c>
      <c r="AD9" s="691" t="e">
        <f ca="1"/>
        <v>#NAME?</v>
      </c>
      <c r="AE9" s="682" t="e">
        <f ca="1"/>
        <v>#NAME?</v>
      </c>
      <c r="AF9" s="682" t="e">
        <f ca="1"/>
        <v>#NAME?</v>
      </c>
      <c r="AG9" s="554" t="e">
        <f ca="1"/>
        <v>#NAME?</v>
      </c>
      <c r="AH9" s="681" t="e">
        <f ca="1"/>
        <v>#NAME?</v>
      </c>
      <c r="AI9" s="680" t="e">
        <f ca="1"/>
        <v>#NAME?</v>
      </c>
    </row>
    <row r="10" spans="1:35" x14ac:dyDescent="0.2">
      <c r="A10" s="553">
        <v>1</v>
      </c>
      <c r="B10" s="690">
        <v>0</v>
      </c>
      <c r="C10" s="689">
        <f>-SQRT(2)</f>
        <v>-1.4142135623730951</v>
      </c>
      <c r="D10" s="673">
        <v>0</v>
      </c>
      <c r="E10" s="553">
        <v>1</v>
      </c>
      <c r="F10" s="686">
        <f t="shared" si="1"/>
        <v>-0.66666666666666663</v>
      </c>
      <c r="G10" s="685">
        <f t="shared" si="2"/>
        <v>1.3333333333333339</v>
      </c>
      <c r="H10" s="448" t="e">
        <f ca="1"/>
        <v>#NAME?</v>
      </c>
      <c r="I10" s="637" t="e">
        <f ca="1"/>
        <v>#NAME?</v>
      </c>
      <c r="J10" s="636" t="e">
        <f ca="1"/>
        <v>#NAME?</v>
      </c>
      <c r="K10" s="448" t="e">
        <f ca="1"/>
        <v>#NAME?</v>
      </c>
      <c r="L10" s="448" t="e">
        <f ca="1"/>
        <v>#NAME?</v>
      </c>
      <c r="M10" s="499" t="e">
        <f ca="1"/>
        <v>#NAME?</v>
      </c>
      <c r="N10" s="688" t="e">
        <f ca="1"/>
        <v>#NAME?</v>
      </c>
      <c r="O10" s="34" t="e">
        <f ca="1"/>
        <v>#NAME?</v>
      </c>
      <c r="P10" s="690" t="e">
        <f ca="1"/>
        <v>#NAME?</v>
      </c>
      <c r="Q10" s="689" t="e">
        <f ca="1"/>
        <v>#NAME?</v>
      </c>
      <c r="R10" s="673" t="e">
        <f ca="1"/>
        <v>#NAME?</v>
      </c>
      <c r="S10" s="553" t="e">
        <f ca="1"/>
        <v>#NAME?</v>
      </c>
      <c r="T10" s="686" t="e">
        <f ca="1"/>
        <v>#NAME?</v>
      </c>
      <c r="U10" s="685" t="e">
        <f ca="1"/>
        <v>#NAME?</v>
      </c>
      <c r="V10" s="89" t="e">
        <f ca="1"/>
        <v>#NAME?</v>
      </c>
      <c r="W10" s="637" t="e">
        <f ca="1"/>
        <v>#NAME?</v>
      </c>
      <c r="X10" s="636" t="e">
        <f ca="1"/>
        <v>#NAME?</v>
      </c>
      <c r="Y10" s="94" t="e">
        <f ca="1"/>
        <v>#NAME?</v>
      </c>
      <c r="Z10" s="448" t="e">
        <f ca="1"/>
        <v>#NAME?</v>
      </c>
      <c r="AA10" s="499" t="e">
        <f ca="1"/>
        <v>#NAME?</v>
      </c>
      <c r="AB10" s="688" t="e">
        <f ca="1"/>
        <v>#NAME?</v>
      </c>
      <c r="AC10" s="34" t="e">
        <f ca="1"/>
        <v>#NAME?</v>
      </c>
      <c r="AD10" s="690" t="e">
        <f ca="1"/>
        <v>#NAME?</v>
      </c>
      <c r="AE10" s="689" t="e">
        <f ca="1"/>
        <v>#NAME?</v>
      </c>
      <c r="AF10" s="673" t="e">
        <f ca="1"/>
        <v>#NAME?</v>
      </c>
      <c r="AG10" s="553" t="e">
        <f ca="1"/>
        <v>#NAME?</v>
      </c>
      <c r="AH10" s="686" t="e">
        <f ca="1"/>
        <v>#NAME?</v>
      </c>
      <c r="AI10" s="685" t="e">
        <f ca="1"/>
        <v>#NAME?</v>
      </c>
    </row>
    <row r="11" spans="1:35" x14ac:dyDescent="0.2">
      <c r="A11" s="553">
        <v>1</v>
      </c>
      <c r="B11" s="673">
        <v>0</v>
      </c>
      <c r="C11" s="687">
        <f>SQRT(2)</f>
        <v>1.4142135623730951</v>
      </c>
      <c r="D11" s="673">
        <v>0</v>
      </c>
      <c r="E11" s="553">
        <v>1</v>
      </c>
      <c r="F11" s="686">
        <f t="shared" si="1"/>
        <v>-0.66666666666666663</v>
      </c>
      <c r="G11" s="685">
        <f t="shared" si="2"/>
        <v>1.3333333333333339</v>
      </c>
      <c r="H11" s="448" t="e">
        <f ca="1"/>
        <v>#NAME?</v>
      </c>
      <c r="I11" s="94" t="e">
        <f ca="1"/>
        <v>#NAME?</v>
      </c>
      <c r="J11" s="635" t="e">
        <f ca="1"/>
        <v>#NAME?</v>
      </c>
      <c r="K11" s="448" t="e">
        <f ca="1"/>
        <v>#NAME?</v>
      </c>
      <c r="L11" s="448" t="e">
        <f ca="1"/>
        <v>#NAME?</v>
      </c>
      <c r="M11" s="499" t="e">
        <f ca="1"/>
        <v>#NAME?</v>
      </c>
      <c r="N11" s="688" t="e">
        <f ca="1"/>
        <v>#NAME?</v>
      </c>
      <c r="O11" s="34" t="e">
        <f ca="1"/>
        <v>#NAME?</v>
      </c>
      <c r="P11" s="673" t="e">
        <f ca="1"/>
        <v>#NAME?</v>
      </c>
      <c r="Q11" s="687" t="e">
        <f ca="1"/>
        <v>#NAME?</v>
      </c>
      <c r="R11" s="673" t="e">
        <f ca="1"/>
        <v>#NAME?</v>
      </c>
      <c r="S11" s="553" t="e">
        <f ca="1"/>
        <v>#NAME?</v>
      </c>
      <c r="T11" s="686" t="e">
        <f ca="1"/>
        <v>#NAME?</v>
      </c>
      <c r="U11" s="685" t="e">
        <f ca="1"/>
        <v>#NAME?</v>
      </c>
      <c r="V11" s="89" t="e">
        <f ca="1"/>
        <v>#NAME?</v>
      </c>
      <c r="W11" s="94" t="e">
        <f ca="1"/>
        <v>#NAME?</v>
      </c>
      <c r="X11" s="635" t="e">
        <f ca="1"/>
        <v>#NAME?</v>
      </c>
      <c r="Y11" s="94" t="e">
        <f ca="1"/>
        <v>#NAME?</v>
      </c>
      <c r="Z11" s="448" t="e">
        <f ca="1"/>
        <v>#NAME?</v>
      </c>
      <c r="AA11" s="499" t="e">
        <f ca="1"/>
        <v>#NAME?</v>
      </c>
      <c r="AB11" s="688" t="e">
        <f ca="1"/>
        <v>#NAME?</v>
      </c>
      <c r="AC11" s="34" t="e">
        <f ca="1"/>
        <v>#NAME?</v>
      </c>
      <c r="AD11" s="673" t="e">
        <f ca="1"/>
        <v>#NAME?</v>
      </c>
      <c r="AE11" s="687" t="e">
        <f ca="1"/>
        <v>#NAME?</v>
      </c>
      <c r="AF11" s="673" t="e">
        <f ca="1"/>
        <v>#NAME?</v>
      </c>
      <c r="AG11" s="553" t="e">
        <f ca="1"/>
        <v>#NAME?</v>
      </c>
      <c r="AH11" s="686" t="e">
        <f ca="1"/>
        <v>#NAME?</v>
      </c>
      <c r="AI11" s="685" t="e">
        <f ca="1"/>
        <v>#NAME?</v>
      </c>
    </row>
    <row r="12" spans="1:35" x14ac:dyDescent="0.2">
      <c r="A12" s="552">
        <v>1</v>
      </c>
      <c r="B12" s="684">
        <f>SQRT(2)</f>
        <v>1.4142135623730951</v>
      </c>
      <c r="C12" s="671">
        <v>0</v>
      </c>
      <c r="D12" s="671">
        <v>0</v>
      </c>
      <c r="E12" s="552">
        <v>1</v>
      </c>
      <c r="F12" s="678">
        <f t="shared" si="1"/>
        <v>1.3333333333333339</v>
      </c>
      <c r="G12" s="677">
        <f t="shared" si="2"/>
        <v>-0.66666666666666663</v>
      </c>
      <c r="H12" s="95" t="e">
        <f ca="1"/>
        <v>#NAME?</v>
      </c>
      <c r="I12" s="632" t="e">
        <f ca="1"/>
        <v>#NAME?</v>
      </c>
      <c r="J12" s="96" t="e">
        <f ca="1"/>
        <v>#NAME?</v>
      </c>
      <c r="K12" s="95" t="e">
        <f ca="1"/>
        <v>#NAME?</v>
      </c>
      <c r="L12" s="95" t="e">
        <f ca="1"/>
        <v>#NAME?</v>
      </c>
      <c r="M12" s="498" t="e">
        <f ca="1"/>
        <v>#NAME?</v>
      </c>
      <c r="N12" s="679" t="e">
        <f ca="1"/>
        <v>#NAME?</v>
      </c>
      <c r="O12" s="63" t="e">
        <f ca="1"/>
        <v>#NAME?</v>
      </c>
      <c r="P12" s="684" t="e">
        <f ca="1"/>
        <v>#NAME?</v>
      </c>
      <c r="Q12" s="671" t="e">
        <f ca="1"/>
        <v>#NAME?</v>
      </c>
      <c r="R12" s="671" t="e">
        <f ca="1"/>
        <v>#NAME?</v>
      </c>
      <c r="S12" s="552" t="e">
        <f ca="1"/>
        <v>#NAME?</v>
      </c>
      <c r="T12" s="678" t="e">
        <f ca="1"/>
        <v>#NAME?</v>
      </c>
      <c r="U12" s="677" t="e">
        <f ca="1"/>
        <v>#NAME?</v>
      </c>
      <c r="V12" s="75" t="e">
        <f ca="1"/>
        <v>#NAME?</v>
      </c>
      <c r="W12" s="632" t="e">
        <f ca="1"/>
        <v>#NAME?</v>
      </c>
      <c r="X12" s="96" t="e">
        <f ca="1"/>
        <v>#NAME?</v>
      </c>
      <c r="Y12" s="96" t="e">
        <f ca="1"/>
        <v>#NAME?</v>
      </c>
      <c r="Z12" s="95" t="e">
        <f ca="1"/>
        <v>#NAME?</v>
      </c>
      <c r="AA12" s="498" t="e">
        <f ca="1"/>
        <v>#NAME?</v>
      </c>
      <c r="AB12" s="679" t="e">
        <f ca="1"/>
        <v>#NAME?</v>
      </c>
      <c r="AC12" s="63" t="e">
        <f ca="1"/>
        <v>#NAME?</v>
      </c>
      <c r="AD12" s="684" t="e">
        <f ca="1"/>
        <v>#NAME?</v>
      </c>
      <c r="AE12" s="671" t="e">
        <f ca="1"/>
        <v>#NAME?</v>
      </c>
      <c r="AF12" s="671" t="e">
        <f ca="1"/>
        <v>#NAME?</v>
      </c>
      <c r="AG12" s="552" t="e">
        <f ca="1"/>
        <v>#NAME?</v>
      </c>
      <c r="AH12" s="678" t="e">
        <f ca="1"/>
        <v>#NAME?</v>
      </c>
      <c r="AI12" s="677" t="e">
        <f ca="1"/>
        <v>#NAME?</v>
      </c>
    </row>
    <row r="13" spans="1:35" x14ac:dyDescent="0.2">
      <c r="A13" s="554">
        <v>1</v>
      </c>
      <c r="B13" s="682">
        <v>0</v>
      </c>
      <c r="C13" s="682">
        <v>0</v>
      </c>
      <c r="D13" s="682">
        <f>B13*C13</f>
        <v>0</v>
      </c>
      <c r="E13" s="554">
        <v>1</v>
      </c>
      <c r="F13" s="681">
        <f t="shared" si="1"/>
        <v>-0.66666666666666663</v>
      </c>
      <c r="G13" s="680">
        <f t="shared" si="2"/>
        <v>-0.66666666666666663</v>
      </c>
      <c r="H13" s="39" t="e">
        <f ca="1"/>
        <v>#NAME?</v>
      </c>
      <c r="I13" s="40" t="e">
        <f ca="1"/>
        <v>#NAME?</v>
      </c>
      <c r="J13" s="40" t="e">
        <f ca="1"/>
        <v>#NAME?</v>
      </c>
      <c r="K13" s="39" t="e">
        <f ca="1"/>
        <v>#NAME?</v>
      </c>
      <c r="L13" s="39" t="e">
        <f ca="1"/>
        <v>#NAME?</v>
      </c>
      <c r="M13" s="500" t="e">
        <f ca="1"/>
        <v>#NAME?</v>
      </c>
      <c r="N13" s="683" t="e">
        <f ca="1"/>
        <v>#NAME?</v>
      </c>
      <c r="O13" s="38" t="e">
        <f ca="1"/>
        <v>#NAME?</v>
      </c>
      <c r="P13" s="682" t="e">
        <f ca="1"/>
        <v>#NAME?</v>
      </c>
      <c r="Q13" s="682" t="e">
        <f ca="1"/>
        <v>#NAME?</v>
      </c>
      <c r="R13" s="682" t="e">
        <f ca="1"/>
        <v>#NAME?</v>
      </c>
      <c r="S13" s="554" t="e">
        <f ca="1"/>
        <v>#NAME?</v>
      </c>
      <c r="T13" s="681" t="e">
        <f ca="1"/>
        <v>#NAME?</v>
      </c>
      <c r="U13" s="680" t="e">
        <f ca="1"/>
        <v>#NAME?</v>
      </c>
      <c r="V13" s="87" t="e">
        <f ca="1"/>
        <v>#NAME?</v>
      </c>
      <c r="W13" s="40" t="e">
        <f ca="1"/>
        <v>#NAME?</v>
      </c>
      <c r="X13" s="40" t="e">
        <f ca="1"/>
        <v>#NAME?</v>
      </c>
      <c r="Y13" s="40" t="e">
        <f ca="1"/>
        <v>#NAME?</v>
      </c>
      <c r="Z13" s="39" t="e">
        <f ca="1"/>
        <v>#NAME?</v>
      </c>
      <c r="AA13" s="500" t="e">
        <f ca="1"/>
        <v>#NAME?</v>
      </c>
      <c r="AB13" s="683" t="e">
        <f ca="1"/>
        <v>#NAME?</v>
      </c>
      <c r="AC13" s="38" t="e">
        <f ca="1"/>
        <v>#NAME?</v>
      </c>
      <c r="AD13" s="682" t="e">
        <f ca="1"/>
        <v>#NAME?</v>
      </c>
      <c r="AE13" s="682" t="e">
        <f ca="1"/>
        <v>#NAME?</v>
      </c>
      <c r="AF13" s="682" t="e">
        <f ca="1"/>
        <v>#NAME?</v>
      </c>
      <c r="AG13" s="554" t="e">
        <f ca="1"/>
        <v>#NAME?</v>
      </c>
      <c r="AH13" s="681" t="e">
        <f ca="1"/>
        <v>#NAME?</v>
      </c>
      <c r="AI13" s="680" t="e">
        <f ca="1"/>
        <v>#NAME?</v>
      </c>
    </row>
    <row r="14" spans="1:35" x14ac:dyDescent="0.2">
      <c r="A14" s="552">
        <v>1</v>
      </c>
      <c r="B14" s="671">
        <v>0</v>
      </c>
      <c r="C14" s="671">
        <v>0</v>
      </c>
      <c r="D14" s="671">
        <f>B14*C14</f>
        <v>0</v>
      </c>
      <c r="E14" s="552">
        <v>1</v>
      </c>
      <c r="F14" s="678">
        <f t="shared" si="1"/>
        <v>-0.66666666666666663</v>
      </c>
      <c r="G14" s="677">
        <f t="shared" si="2"/>
        <v>-0.66666666666666663</v>
      </c>
      <c r="H14" s="95" t="e">
        <f ca="1"/>
        <v>#NAME?</v>
      </c>
      <c r="I14" s="96" t="e">
        <f ca="1"/>
        <v>#NAME?</v>
      </c>
      <c r="J14" s="96" t="e">
        <f ca="1"/>
        <v>#NAME?</v>
      </c>
      <c r="K14" s="95" t="e">
        <f ca="1"/>
        <v>#NAME?</v>
      </c>
      <c r="L14" s="95" t="e">
        <f ca="1"/>
        <v>#NAME?</v>
      </c>
      <c r="M14" s="498" t="e">
        <f ca="1"/>
        <v>#NAME?</v>
      </c>
      <c r="N14" s="679" t="e">
        <f ca="1"/>
        <v>#NAME?</v>
      </c>
      <c r="O14" s="63" t="e">
        <f ca="1"/>
        <v>#NAME?</v>
      </c>
      <c r="P14" s="671" t="e">
        <f ca="1"/>
        <v>#NAME?</v>
      </c>
      <c r="Q14" s="671" t="e">
        <f ca="1"/>
        <v>#NAME?</v>
      </c>
      <c r="R14" s="671" t="e">
        <f ca="1"/>
        <v>#NAME?</v>
      </c>
      <c r="S14" s="552" t="e">
        <f ca="1"/>
        <v>#NAME?</v>
      </c>
      <c r="T14" s="678" t="e">
        <f ca="1"/>
        <v>#NAME?</v>
      </c>
      <c r="U14" s="677" t="e">
        <f ca="1"/>
        <v>#NAME?</v>
      </c>
      <c r="V14" s="75" t="e">
        <f ca="1"/>
        <v>#NAME?</v>
      </c>
      <c r="W14" s="96" t="e">
        <f ca="1"/>
        <v>#NAME?</v>
      </c>
      <c r="X14" s="96" t="e">
        <f ca="1"/>
        <v>#NAME?</v>
      </c>
      <c r="Y14" s="96" t="e">
        <f ca="1"/>
        <v>#NAME?</v>
      </c>
      <c r="Z14" s="95" t="e">
        <f ca="1"/>
        <v>#NAME?</v>
      </c>
      <c r="AA14" s="498" t="e">
        <f ca="1"/>
        <v>#NAME?</v>
      </c>
      <c r="AB14" s="679" t="e">
        <f ca="1"/>
        <v>#NAME?</v>
      </c>
      <c r="AC14" s="63" t="e">
        <f ca="1"/>
        <v>#NAME?</v>
      </c>
      <c r="AD14" s="671" t="e">
        <f ca="1"/>
        <v>#NAME?</v>
      </c>
      <c r="AE14" s="671" t="e">
        <f ca="1"/>
        <v>#NAME?</v>
      </c>
      <c r="AF14" s="671" t="e">
        <f ca="1"/>
        <v>#NAME?</v>
      </c>
      <c r="AG14" s="552" t="e">
        <f ca="1"/>
        <v>#NAME?</v>
      </c>
      <c r="AH14" s="678" t="e">
        <f ca="1"/>
        <v>#NAME?</v>
      </c>
      <c r="AI14" s="677" t="e">
        <f ca="1"/>
        <v>#NAME?</v>
      </c>
    </row>
    <row r="15" spans="1:35" ht="19" x14ac:dyDescent="0.25">
      <c r="A15" s="1314" t="s">
        <v>269</v>
      </c>
      <c r="B15" s="1315"/>
      <c r="C15" s="1315"/>
      <c r="D15" s="1315"/>
      <c r="E15" s="1315"/>
      <c r="F15" s="1315"/>
      <c r="G15" s="1316"/>
      <c r="H15" s="1357" t="s">
        <v>284</v>
      </c>
      <c r="I15" s="1346"/>
      <c r="J15" s="1346"/>
      <c r="K15" s="1346"/>
      <c r="L15" s="1346"/>
      <c r="M15" s="1346"/>
      <c r="N15" s="1360"/>
      <c r="O15" s="1314" t="s">
        <v>283</v>
      </c>
      <c r="P15" s="1315"/>
      <c r="Q15" s="1315"/>
      <c r="R15" s="1315"/>
      <c r="S15" s="1315"/>
      <c r="T15" s="1315"/>
      <c r="U15" s="1316"/>
      <c r="V15" s="1357" t="s">
        <v>282</v>
      </c>
      <c r="W15" s="1346"/>
      <c r="X15" s="1346"/>
      <c r="Y15" s="1346"/>
      <c r="Z15" s="1346"/>
      <c r="AA15" s="1346"/>
      <c r="AB15" s="1360"/>
      <c r="AC15" s="1314" t="s">
        <v>281</v>
      </c>
      <c r="AD15" s="1315"/>
      <c r="AE15" s="1315"/>
      <c r="AF15" s="1315"/>
      <c r="AG15" s="1315"/>
      <c r="AH15" s="1315"/>
      <c r="AI15" s="1316"/>
    </row>
    <row r="16" spans="1:35" x14ac:dyDescent="0.2">
      <c r="A16" s="631">
        <v>0</v>
      </c>
      <c r="B16" s="676">
        <v>1</v>
      </c>
      <c r="C16" s="676">
        <v>2</v>
      </c>
      <c r="D16" s="631">
        <v>12</v>
      </c>
      <c r="E16" s="631" t="s">
        <v>1</v>
      </c>
      <c r="F16" s="676">
        <v>11</v>
      </c>
      <c r="G16" s="667">
        <v>22</v>
      </c>
      <c r="H16" s="524">
        <v>0</v>
      </c>
      <c r="I16" s="464">
        <v>1</v>
      </c>
      <c r="J16" s="464">
        <v>2</v>
      </c>
      <c r="K16" s="524">
        <v>12</v>
      </c>
      <c r="L16" s="524" t="s">
        <v>1</v>
      </c>
      <c r="M16" s="464">
        <v>11</v>
      </c>
      <c r="N16" s="454">
        <v>22</v>
      </c>
      <c r="O16" s="631">
        <v>0</v>
      </c>
      <c r="P16" s="676">
        <v>1</v>
      </c>
      <c r="Q16" s="676">
        <v>2</v>
      </c>
      <c r="R16" s="631">
        <v>12</v>
      </c>
      <c r="S16" s="631" t="s">
        <v>1</v>
      </c>
      <c r="T16" s="676">
        <v>11</v>
      </c>
      <c r="U16" s="667">
        <v>22</v>
      </c>
      <c r="V16" s="524">
        <v>0</v>
      </c>
      <c r="W16" s="464">
        <v>1</v>
      </c>
      <c r="X16" s="464">
        <v>2</v>
      </c>
      <c r="Y16" s="524">
        <v>12</v>
      </c>
      <c r="Z16" s="524" t="s">
        <v>1</v>
      </c>
      <c r="AA16" s="464">
        <v>11</v>
      </c>
      <c r="AB16" s="454">
        <v>22</v>
      </c>
      <c r="AC16" s="631">
        <v>0</v>
      </c>
      <c r="AD16" s="676">
        <v>1</v>
      </c>
      <c r="AE16" s="676">
        <v>2</v>
      </c>
      <c r="AF16" s="631">
        <v>12</v>
      </c>
      <c r="AG16" s="631" t="s">
        <v>1</v>
      </c>
      <c r="AH16" s="676">
        <v>11</v>
      </c>
      <c r="AI16" s="667">
        <v>22</v>
      </c>
    </row>
    <row r="17" spans="1:35" x14ac:dyDescent="0.2">
      <c r="A17" s="452">
        <f t="array" ref="A17:G23">MMULT(TRANSPOSE(X),X)</f>
        <v>12</v>
      </c>
      <c r="B17" s="473">
        <v>0</v>
      </c>
      <c r="C17" s="473">
        <v>0</v>
      </c>
      <c r="D17" s="452">
        <v>0</v>
      </c>
      <c r="E17" s="452">
        <v>0</v>
      </c>
      <c r="F17" s="473">
        <v>1.5543122344752192E-15</v>
      </c>
      <c r="G17" s="474">
        <v>1.5543122344752192E-15</v>
      </c>
      <c r="H17" s="555" t="e">
        <f t="array" aca="1" ref="H17:N23" ca="1">MMULT(TRANSPOSE(W),W)</f>
        <v>#NAME?</v>
      </c>
      <c r="I17" s="675" t="e">
        <f ca="1"/>
        <v>#NAME?</v>
      </c>
      <c r="J17" s="675" t="e">
        <f ca="1"/>
        <v>#NAME?</v>
      </c>
      <c r="K17" s="555" t="e">
        <f ca="1"/>
        <v>#NAME?</v>
      </c>
      <c r="L17" s="555" t="e">
        <f ca="1"/>
        <v>#NAME?</v>
      </c>
      <c r="M17" s="675" t="e">
        <f ca="1"/>
        <v>#NAME?</v>
      </c>
      <c r="N17" s="674" t="e">
        <f ca="1"/>
        <v>#NAME?</v>
      </c>
      <c r="O17" s="452" t="e">
        <f t="array" aca="1" ref="O17:U23" ca="1">MMULT(TRANSPOSE(W_1),W_1)</f>
        <v>#NAME?</v>
      </c>
      <c r="P17" s="473" t="e">
        <f ca="1"/>
        <v>#NAME?</v>
      </c>
      <c r="Q17" s="473" t="e">
        <f ca="1"/>
        <v>#NAME?</v>
      </c>
      <c r="R17" s="452" t="e">
        <f ca="1"/>
        <v>#NAME?</v>
      </c>
      <c r="S17" s="452" t="e">
        <f ca="1"/>
        <v>#NAME?</v>
      </c>
      <c r="T17" s="473" t="e">
        <f ca="1"/>
        <v>#NAME?</v>
      </c>
      <c r="U17" s="474" t="e">
        <f ca="1"/>
        <v>#NAME?</v>
      </c>
      <c r="V17" s="555" t="e">
        <f t="array" aca="1" ref="V17:AB23" ca="1">MMULT(TRANSPOSE(W_2),W_2)</f>
        <v>#NAME?</v>
      </c>
      <c r="W17" s="675" t="e">
        <f ca="1"/>
        <v>#NAME?</v>
      </c>
      <c r="X17" s="675" t="e">
        <f ca="1"/>
        <v>#NAME?</v>
      </c>
      <c r="Y17" s="555" t="e">
        <f ca="1"/>
        <v>#NAME?</v>
      </c>
      <c r="Z17" s="555" t="e">
        <f ca="1"/>
        <v>#NAME?</v>
      </c>
      <c r="AA17" s="675" t="e">
        <f ca="1"/>
        <v>#NAME?</v>
      </c>
      <c r="AB17" s="674" t="e">
        <f ca="1"/>
        <v>#NAME?</v>
      </c>
      <c r="AC17" s="452" t="e">
        <f t="array" aca="1" ref="AC17:AI23" ca="1">MMULT(TRANSPOSE(W_2),W_2)</f>
        <v>#NAME?</v>
      </c>
      <c r="AD17" s="473" t="e">
        <f ca="1"/>
        <v>#NAME?</v>
      </c>
      <c r="AE17" s="473" t="e">
        <f ca="1"/>
        <v>#NAME?</v>
      </c>
      <c r="AF17" s="452" t="e">
        <f ca="1"/>
        <v>#NAME?</v>
      </c>
      <c r="AG17" s="452" t="e">
        <f ca="1"/>
        <v>#NAME?</v>
      </c>
      <c r="AH17" s="473" t="e">
        <f ca="1"/>
        <v>#NAME?</v>
      </c>
      <c r="AI17" s="474" t="e">
        <f ca="1"/>
        <v>#NAME?</v>
      </c>
    </row>
    <row r="18" spans="1:35" x14ac:dyDescent="0.2">
      <c r="A18" s="448">
        <v>0</v>
      </c>
      <c r="B18" s="94">
        <v>8</v>
      </c>
      <c r="C18" s="94">
        <v>0</v>
      </c>
      <c r="D18" s="448">
        <v>0</v>
      </c>
      <c r="E18" s="448">
        <v>0</v>
      </c>
      <c r="F18" s="94">
        <v>0</v>
      </c>
      <c r="G18" s="475">
        <v>0</v>
      </c>
      <c r="H18" s="553" t="e">
        <f ca="1"/>
        <v>#NAME?</v>
      </c>
      <c r="I18" s="673" t="e">
        <f ca="1"/>
        <v>#NAME?</v>
      </c>
      <c r="J18" s="673" t="e">
        <f ca="1"/>
        <v>#NAME?</v>
      </c>
      <c r="K18" s="553" t="e">
        <f ca="1"/>
        <v>#NAME?</v>
      </c>
      <c r="L18" s="553" t="e">
        <f ca="1"/>
        <v>#NAME?</v>
      </c>
      <c r="M18" s="673" t="e">
        <f ca="1"/>
        <v>#NAME?</v>
      </c>
      <c r="N18" s="672" t="e">
        <f ca="1"/>
        <v>#NAME?</v>
      </c>
      <c r="O18" s="448" t="e">
        <f ca="1"/>
        <v>#NAME?</v>
      </c>
      <c r="P18" s="94" t="e">
        <f ca="1"/>
        <v>#NAME?</v>
      </c>
      <c r="Q18" s="94" t="e">
        <f ca="1"/>
        <v>#NAME?</v>
      </c>
      <c r="R18" s="448" t="e">
        <f ca="1"/>
        <v>#NAME?</v>
      </c>
      <c r="S18" s="448" t="e">
        <f ca="1"/>
        <v>#NAME?</v>
      </c>
      <c r="T18" s="94" t="e">
        <f ca="1"/>
        <v>#NAME?</v>
      </c>
      <c r="U18" s="475" t="e">
        <f ca="1"/>
        <v>#NAME?</v>
      </c>
      <c r="V18" s="553" t="e">
        <f ca="1"/>
        <v>#NAME?</v>
      </c>
      <c r="W18" s="673" t="e">
        <f ca="1"/>
        <v>#NAME?</v>
      </c>
      <c r="X18" s="673" t="e">
        <f ca="1"/>
        <v>#NAME?</v>
      </c>
      <c r="Y18" s="553" t="e">
        <f ca="1"/>
        <v>#NAME?</v>
      </c>
      <c r="Z18" s="553" t="e">
        <f ca="1"/>
        <v>#NAME?</v>
      </c>
      <c r="AA18" s="673" t="e">
        <f ca="1"/>
        <v>#NAME?</v>
      </c>
      <c r="AB18" s="672" t="e">
        <f ca="1"/>
        <v>#NAME?</v>
      </c>
      <c r="AC18" s="448" t="e">
        <f ca="1"/>
        <v>#NAME?</v>
      </c>
      <c r="AD18" s="94" t="e">
        <f ca="1"/>
        <v>#NAME?</v>
      </c>
      <c r="AE18" s="94" t="e">
        <f ca="1"/>
        <v>#NAME?</v>
      </c>
      <c r="AF18" s="448" t="e">
        <f ca="1"/>
        <v>#NAME?</v>
      </c>
      <c r="AG18" s="448" t="e">
        <f ca="1"/>
        <v>#NAME?</v>
      </c>
      <c r="AH18" s="94" t="e">
        <f ca="1"/>
        <v>#NAME?</v>
      </c>
      <c r="AI18" s="475" t="e">
        <f ca="1"/>
        <v>#NAME?</v>
      </c>
    </row>
    <row r="19" spans="1:35" x14ac:dyDescent="0.2">
      <c r="A19" s="448">
        <v>0</v>
      </c>
      <c r="B19" s="94">
        <v>0</v>
      </c>
      <c r="C19" s="94">
        <v>8</v>
      </c>
      <c r="D19" s="448">
        <v>0</v>
      </c>
      <c r="E19" s="448">
        <v>0</v>
      </c>
      <c r="F19" s="94">
        <v>0</v>
      </c>
      <c r="G19" s="475">
        <v>0</v>
      </c>
      <c r="H19" s="553" t="e">
        <f ca="1"/>
        <v>#NAME?</v>
      </c>
      <c r="I19" s="673" t="e">
        <f ca="1"/>
        <v>#NAME?</v>
      </c>
      <c r="J19" s="673" t="e">
        <f ca="1"/>
        <v>#NAME?</v>
      </c>
      <c r="K19" s="553" t="e">
        <f ca="1"/>
        <v>#NAME?</v>
      </c>
      <c r="L19" s="553" t="e">
        <f ca="1"/>
        <v>#NAME?</v>
      </c>
      <c r="M19" s="673" t="e">
        <f ca="1"/>
        <v>#NAME?</v>
      </c>
      <c r="N19" s="672" t="e">
        <f ca="1"/>
        <v>#NAME?</v>
      </c>
      <c r="O19" s="448" t="e">
        <f ca="1"/>
        <v>#NAME?</v>
      </c>
      <c r="P19" s="94" t="e">
        <f ca="1"/>
        <v>#NAME?</v>
      </c>
      <c r="Q19" s="94" t="e">
        <f ca="1"/>
        <v>#NAME?</v>
      </c>
      <c r="R19" s="448" t="e">
        <f ca="1"/>
        <v>#NAME?</v>
      </c>
      <c r="S19" s="448" t="e">
        <f ca="1"/>
        <v>#NAME?</v>
      </c>
      <c r="T19" s="94" t="e">
        <f ca="1"/>
        <v>#NAME?</v>
      </c>
      <c r="U19" s="475" t="e">
        <f ca="1"/>
        <v>#NAME?</v>
      </c>
      <c r="V19" s="553" t="e">
        <f ca="1"/>
        <v>#NAME?</v>
      </c>
      <c r="W19" s="673" t="e">
        <f ca="1"/>
        <v>#NAME?</v>
      </c>
      <c r="X19" s="673" t="e">
        <f ca="1"/>
        <v>#NAME?</v>
      </c>
      <c r="Y19" s="553" t="e">
        <f ca="1"/>
        <v>#NAME?</v>
      </c>
      <c r="Z19" s="553" t="e">
        <f ca="1"/>
        <v>#NAME?</v>
      </c>
      <c r="AA19" s="673" t="e">
        <f ca="1"/>
        <v>#NAME?</v>
      </c>
      <c r="AB19" s="672" t="e">
        <f ca="1"/>
        <v>#NAME?</v>
      </c>
      <c r="AC19" s="448" t="e">
        <f ca="1"/>
        <v>#NAME?</v>
      </c>
      <c r="AD19" s="94" t="e">
        <f ca="1"/>
        <v>#NAME?</v>
      </c>
      <c r="AE19" s="94" t="e">
        <f ca="1"/>
        <v>#NAME?</v>
      </c>
      <c r="AF19" s="448" t="e">
        <f ca="1"/>
        <v>#NAME?</v>
      </c>
      <c r="AG19" s="448" t="e">
        <f ca="1"/>
        <v>#NAME?</v>
      </c>
      <c r="AH19" s="94" t="e">
        <f ca="1"/>
        <v>#NAME?</v>
      </c>
      <c r="AI19" s="475" t="e">
        <f ca="1"/>
        <v>#NAME?</v>
      </c>
    </row>
    <row r="20" spans="1:35" x14ac:dyDescent="0.2">
      <c r="A20" s="452">
        <v>0</v>
      </c>
      <c r="B20" s="473">
        <v>0</v>
      </c>
      <c r="C20" s="473">
        <v>0</v>
      </c>
      <c r="D20" s="452">
        <v>4</v>
      </c>
      <c r="E20" s="452">
        <v>0</v>
      </c>
      <c r="F20" s="473">
        <v>0</v>
      </c>
      <c r="G20" s="474">
        <v>0</v>
      </c>
      <c r="H20" s="555" t="e">
        <f ca="1"/>
        <v>#NAME?</v>
      </c>
      <c r="I20" s="675" t="e">
        <f ca="1"/>
        <v>#NAME?</v>
      </c>
      <c r="J20" s="675" t="e">
        <f ca="1"/>
        <v>#NAME?</v>
      </c>
      <c r="K20" s="555" t="e">
        <f ca="1"/>
        <v>#NAME?</v>
      </c>
      <c r="L20" s="555" t="e">
        <f ca="1"/>
        <v>#NAME?</v>
      </c>
      <c r="M20" s="675" t="e">
        <f ca="1"/>
        <v>#NAME?</v>
      </c>
      <c r="N20" s="674" t="e">
        <f ca="1"/>
        <v>#NAME?</v>
      </c>
      <c r="O20" s="452" t="e">
        <f ca="1"/>
        <v>#NAME?</v>
      </c>
      <c r="P20" s="473" t="e">
        <f ca="1"/>
        <v>#NAME?</v>
      </c>
      <c r="Q20" s="473" t="e">
        <f ca="1"/>
        <v>#NAME?</v>
      </c>
      <c r="R20" s="452" t="e">
        <f ca="1"/>
        <v>#NAME?</v>
      </c>
      <c r="S20" s="452" t="e">
        <f ca="1"/>
        <v>#NAME?</v>
      </c>
      <c r="T20" s="473" t="e">
        <f ca="1"/>
        <v>#NAME?</v>
      </c>
      <c r="U20" s="474" t="e">
        <f ca="1"/>
        <v>#NAME?</v>
      </c>
      <c r="V20" s="555" t="e">
        <f ca="1"/>
        <v>#NAME?</v>
      </c>
      <c r="W20" s="675" t="e">
        <f ca="1"/>
        <v>#NAME?</v>
      </c>
      <c r="X20" s="675" t="e">
        <f ca="1"/>
        <v>#NAME?</v>
      </c>
      <c r="Y20" s="555" t="e">
        <f ca="1"/>
        <v>#NAME?</v>
      </c>
      <c r="Z20" s="555" t="e">
        <f ca="1"/>
        <v>#NAME?</v>
      </c>
      <c r="AA20" s="675" t="e">
        <f ca="1"/>
        <v>#NAME?</v>
      </c>
      <c r="AB20" s="674" t="e">
        <f ca="1"/>
        <v>#NAME?</v>
      </c>
      <c r="AC20" s="452" t="e">
        <f ca="1"/>
        <v>#NAME?</v>
      </c>
      <c r="AD20" s="473" t="e">
        <f ca="1"/>
        <v>#NAME?</v>
      </c>
      <c r="AE20" s="473" t="e">
        <f ca="1"/>
        <v>#NAME?</v>
      </c>
      <c r="AF20" s="452" t="e">
        <f ca="1"/>
        <v>#NAME?</v>
      </c>
      <c r="AG20" s="452" t="e">
        <f ca="1"/>
        <v>#NAME?</v>
      </c>
      <c r="AH20" s="473" t="e">
        <f ca="1"/>
        <v>#NAME?</v>
      </c>
      <c r="AI20" s="474" t="e">
        <f ca="1"/>
        <v>#NAME?</v>
      </c>
    </row>
    <row r="21" spans="1:35" x14ac:dyDescent="0.2">
      <c r="A21" s="452">
        <v>0</v>
      </c>
      <c r="B21" s="473">
        <v>0</v>
      </c>
      <c r="C21" s="473">
        <v>0</v>
      </c>
      <c r="D21" s="452">
        <v>0</v>
      </c>
      <c r="E21" s="452">
        <v>12</v>
      </c>
      <c r="F21" s="473">
        <v>1.1102230246251565E-15</v>
      </c>
      <c r="G21" s="474">
        <v>1.1102230246251565E-15</v>
      </c>
      <c r="H21" s="555" t="e">
        <f ca="1"/>
        <v>#NAME?</v>
      </c>
      <c r="I21" s="675" t="e">
        <f ca="1"/>
        <v>#NAME?</v>
      </c>
      <c r="J21" s="675" t="e">
        <f ca="1"/>
        <v>#NAME?</v>
      </c>
      <c r="K21" s="555" t="e">
        <f ca="1"/>
        <v>#NAME?</v>
      </c>
      <c r="L21" s="555" t="e">
        <f ca="1"/>
        <v>#NAME?</v>
      </c>
      <c r="M21" s="675" t="e">
        <f ca="1"/>
        <v>#NAME?</v>
      </c>
      <c r="N21" s="674" t="e">
        <f ca="1"/>
        <v>#NAME?</v>
      </c>
      <c r="O21" s="452" t="e">
        <f ca="1"/>
        <v>#NAME?</v>
      </c>
      <c r="P21" s="473" t="e">
        <f ca="1"/>
        <v>#NAME?</v>
      </c>
      <c r="Q21" s="473" t="e">
        <f ca="1"/>
        <v>#NAME?</v>
      </c>
      <c r="R21" s="452" t="e">
        <f ca="1"/>
        <v>#NAME?</v>
      </c>
      <c r="S21" s="452" t="e">
        <f ca="1"/>
        <v>#NAME?</v>
      </c>
      <c r="T21" s="473" t="e">
        <f ca="1"/>
        <v>#NAME?</v>
      </c>
      <c r="U21" s="474" t="e">
        <f ca="1"/>
        <v>#NAME?</v>
      </c>
      <c r="V21" s="555" t="e">
        <f ca="1"/>
        <v>#NAME?</v>
      </c>
      <c r="W21" s="675" t="e">
        <f ca="1"/>
        <v>#NAME?</v>
      </c>
      <c r="X21" s="675" t="e">
        <f ca="1"/>
        <v>#NAME?</v>
      </c>
      <c r="Y21" s="555" t="e">
        <f ca="1"/>
        <v>#NAME?</v>
      </c>
      <c r="Z21" s="555" t="e">
        <f ca="1"/>
        <v>#NAME?</v>
      </c>
      <c r="AA21" s="675" t="e">
        <f ca="1"/>
        <v>#NAME?</v>
      </c>
      <c r="AB21" s="674" t="e">
        <f ca="1"/>
        <v>#NAME?</v>
      </c>
      <c r="AC21" s="452" t="e">
        <f ca="1"/>
        <v>#NAME?</v>
      </c>
      <c r="AD21" s="473" t="e">
        <f ca="1"/>
        <v>#NAME?</v>
      </c>
      <c r="AE21" s="473" t="e">
        <f ca="1"/>
        <v>#NAME?</v>
      </c>
      <c r="AF21" s="452" t="e">
        <f ca="1"/>
        <v>#NAME?</v>
      </c>
      <c r="AG21" s="452" t="e">
        <f ca="1"/>
        <v>#NAME?</v>
      </c>
      <c r="AH21" s="473" t="e">
        <f ca="1"/>
        <v>#NAME?</v>
      </c>
      <c r="AI21" s="474" t="e">
        <f ca="1"/>
        <v>#NAME?</v>
      </c>
    </row>
    <row r="22" spans="1:35" x14ac:dyDescent="0.2">
      <c r="A22" s="448">
        <v>1.5543122344752192E-15</v>
      </c>
      <c r="B22" s="94">
        <v>0</v>
      </c>
      <c r="C22" s="94">
        <v>0</v>
      </c>
      <c r="D22" s="448">
        <v>0</v>
      </c>
      <c r="E22" s="448">
        <v>1.1102230246251565E-15</v>
      </c>
      <c r="F22" s="94">
        <v>6.6666666666666705</v>
      </c>
      <c r="G22" s="475">
        <v>-1.3333333333333348</v>
      </c>
      <c r="H22" s="553" t="e">
        <f ca="1"/>
        <v>#NAME?</v>
      </c>
      <c r="I22" s="673" t="e">
        <f ca="1"/>
        <v>#NAME?</v>
      </c>
      <c r="J22" s="673" t="e">
        <f ca="1"/>
        <v>#NAME?</v>
      </c>
      <c r="K22" s="553" t="e">
        <f ca="1"/>
        <v>#NAME?</v>
      </c>
      <c r="L22" s="553" t="e">
        <f ca="1"/>
        <v>#NAME?</v>
      </c>
      <c r="M22" s="673" t="e">
        <f ca="1"/>
        <v>#NAME?</v>
      </c>
      <c r="N22" s="672" t="e">
        <f ca="1"/>
        <v>#NAME?</v>
      </c>
      <c r="O22" s="448" t="e">
        <f ca="1"/>
        <v>#NAME?</v>
      </c>
      <c r="P22" s="94" t="e">
        <f ca="1"/>
        <v>#NAME?</v>
      </c>
      <c r="Q22" s="94" t="e">
        <f ca="1"/>
        <v>#NAME?</v>
      </c>
      <c r="R22" s="448" t="e">
        <f ca="1"/>
        <v>#NAME?</v>
      </c>
      <c r="S22" s="448" t="e">
        <f ca="1"/>
        <v>#NAME?</v>
      </c>
      <c r="T22" s="94" t="e">
        <f ca="1"/>
        <v>#NAME?</v>
      </c>
      <c r="U22" s="475" t="e">
        <f ca="1"/>
        <v>#NAME?</v>
      </c>
      <c r="V22" s="553" t="e">
        <f ca="1"/>
        <v>#NAME?</v>
      </c>
      <c r="W22" s="673" t="e">
        <f ca="1"/>
        <v>#NAME?</v>
      </c>
      <c r="X22" s="673" t="e">
        <f ca="1"/>
        <v>#NAME?</v>
      </c>
      <c r="Y22" s="553" t="e">
        <f ca="1"/>
        <v>#NAME?</v>
      </c>
      <c r="Z22" s="553" t="e">
        <f ca="1"/>
        <v>#NAME?</v>
      </c>
      <c r="AA22" s="673" t="e">
        <f ca="1"/>
        <v>#NAME?</v>
      </c>
      <c r="AB22" s="672" t="e">
        <f ca="1"/>
        <v>#NAME?</v>
      </c>
      <c r="AC22" s="448" t="e">
        <f ca="1"/>
        <v>#NAME?</v>
      </c>
      <c r="AD22" s="94" t="e">
        <f ca="1"/>
        <v>#NAME?</v>
      </c>
      <c r="AE22" s="94" t="e">
        <f ca="1"/>
        <v>#NAME?</v>
      </c>
      <c r="AF22" s="448" t="e">
        <f ca="1"/>
        <v>#NAME?</v>
      </c>
      <c r="AG22" s="448" t="e">
        <f ca="1"/>
        <v>#NAME?</v>
      </c>
      <c r="AH22" s="94" t="e">
        <f ca="1"/>
        <v>#NAME?</v>
      </c>
      <c r="AI22" s="475" t="e">
        <f ca="1"/>
        <v>#NAME?</v>
      </c>
    </row>
    <row r="23" spans="1:35" x14ac:dyDescent="0.2">
      <c r="A23" s="95">
        <v>1.5543122344752192E-15</v>
      </c>
      <c r="B23" s="96">
        <v>0</v>
      </c>
      <c r="C23" s="96">
        <v>0</v>
      </c>
      <c r="D23" s="95">
        <v>0</v>
      </c>
      <c r="E23" s="95">
        <v>1.1102230246251565E-15</v>
      </c>
      <c r="F23" s="96">
        <v>-1.3333333333333348</v>
      </c>
      <c r="G23" s="97">
        <v>6.6666666666666705</v>
      </c>
      <c r="H23" s="552" t="e">
        <f ca="1"/>
        <v>#NAME?</v>
      </c>
      <c r="I23" s="671" t="e">
        <f ca="1"/>
        <v>#NAME?</v>
      </c>
      <c r="J23" s="671" t="e">
        <f ca="1"/>
        <v>#NAME?</v>
      </c>
      <c r="K23" s="552" t="e">
        <f ca="1"/>
        <v>#NAME?</v>
      </c>
      <c r="L23" s="552" t="e">
        <f ca="1"/>
        <v>#NAME?</v>
      </c>
      <c r="M23" s="671" t="e">
        <f ca="1"/>
        <v>#NAME?</v>
      </c>
      <c r="N23" s="670" t="e">
        <f ca="1"/>
        <v>#NAME?</v>
      </c>
      <c r="O23" s="95" t="e">
        <f ca="1"/>
        <v>#NAME?</v>
      </c>
      <c r="P23" s="96" t="e">
        <f ca="1"/>
        <v>#NAME?</v>
      </c>
      <c r="Q23" s="96" t="e">
        <f ca="1"/>
        <v>#NAME?</v>
      </c>
      <c r="R23" s="95" t="e">
        <f ca="1"/>
        <v>#NAME?</v>
      </c>
      <c r="S23" s="95" t="e">
        <f ca="1"/>
        <v>#NAME?</v>
      </c>
      <c r="T23" s="96" t="e">
        <f ca="1"/>
        <v>#NAME?</v>
      </c>
      <c r="U23" s="97" t="e">
        <f ca="1"/>
        <v>#NAME?</v>
      </c>
      <c r="V23" s="552" t="e">
        <f ca="1"/>
        <v>#NAME?</v>
      </c>
      <c r="W23" s="671" t="e">
        <f ca="1"/>
        <v>#NAME?</v>
      </c>
      <c r="X23" s="671" t="e">
        <f ca="1"/>
        <v>#NAME?</v>
      </c>
      <c r="Y23" s="552" t="e">
        <f ca="1"/>
        <v>#NAME?</v>
      </c>
      <c r="Z23" s="552" t="e">
        <f ca="1"/>
        <v>#NAME?</v>
      </c>
      <c r="AA23" s="671" t="e">
        <f ca="1"/>
        <v>#NAME?</v>
      </c>
      <c r="AB23" s="670" t="e">
        <f ca="1"/>
        <v>#NAME?</v>
      </c>
      <c r="AC23" s="95" t="e">
        <f ca="1"/>
        <v>#NAME?</v>
      </c>
      <c r="AD23" s="96" t="e">
        <f ca="1"/>
        <v>#NAME?</v>
      </c>
      <c r="AE23" s="96" t="e">
        <f ca="1"/>
        <v>#NAME?</v>
      </c>
      <c r="AF23" s="95" t="e">
        <f ca="1"/>
        <v>#NAME?</v>
      </c>
      <c r="AG23" s="95" t="e">
        <f ca="1"/>
        <v>#NAME?</v>
      </c>
      <c r="AH23" s="96" t="e">
        <f ca="1"/>
        <v>#NAME?</v>
      </c>
      <c r="AI23" s="97" t="e">
        <f ca="1"/>
        <v>#NAME?</v>
      </c>
    </row>
    <row r="24" spans="1:35" ht="19" x14ac:dyDescent="0.25">
      <c r="A24" s="1357" t="s">
        <v>280</v>
      </c>
      <c r="B24" s="1346"/>
      <c r="C24" s="1346"/>
      <c r="D24" s="1346"/>
      <c r="E24" s="1346"/>
      <c r="F24" s="1346"/>
      <c r="G24" s="1360"/>
      <c r="H24" s="1314" t="s">
        <v>279</v>
      </c>
      <c r="I24" s="1315"/>
      <c r="J24" s="1315"/>
      <c r="K24" s="1315"/>
      <c r="L24" s="1315"/>
      <c r="M24" s="1315"/>
      <c r="N24" s="1316"/>
      <c r="O24" s="1357" t="s">
        <v>278</v>
      </c>
      <c r="P24" s="1346"/>
      <c r="Q24" s="1346"/>
      <c r="R24" s="1346"/>
      <c r="S24" s="1346"/>
      <c r="T24" s="1346"/>
      <c r="U24" s="1360"/>
      <c r="V24" s="1314" t="s">
        <v>277</v>
      </c>
      <c r="W24" s="1315"/>
      <c r="X24" s="1315"/>
      <c r="Y24" s="1315"/>
      <c r="Z24" s="1315"/>
      <c r="AA24" s="1315"/>
      <c r="AB24" s="1316"/>
    </row>
    <row r="25" spans="1:35" x14ac:dyDescent="0.2">
      <c r="A25" s="524">
        <v>0</v>
      </c>
      <c r="B25" s="464">
        <v>1</v>
      </c>
      <c r="C25" s="464">
        <v>2</v>
      </c>
      <c r="D25" s="524">
        <v>12</v>
      </c>
      <c r="E25" s="524" t="s">
        <v>1</v>
      </c>
      <c r="F25" s="464">
        <v>11</v>
      </c>
      <c r="G25" s="454">
        <v>22</v>
      </c>
      <c r="H25" s="631">
        <v>0</v>
      </c>
      <c r="I25" s="676">
        <v>1</v>
      </c>
      <c r="J25" s="676">
        <v>2</v>
      </c>
      <c r="K25" s="631">
        <v>12</v>
      </c>
      <c r="L25" s="631" t="s">
        <v>1</v>
      </c>
      <c r="M25" s="676">
        <v>11</v>
      </c>
      <c r="N25" s="667">
        <v>22</v>
      </c>
      <c r="O25" s="524">
        <v>0</v>
      </c>
      <c r="P25" s="464">
        <v>1</v>
      </c>
      <c r="Q25" s="464">
        <v>2</v>
      </c>
      <c r="R25" s="524">
        <v>12</v>
      </c>
      <c r="S25" s="524" t="s">
        <v>1</v>
      </c>
      <c r="T25" s="464">
        <v>11</v>
      </c>
      <c r="U25" s="454">
        <v>22</v>
      </c>
      <c r="V25" s="631">
        <v>0</v>
      </c>
      <c r="W25" s="676">
        <v>1</v>
      </c>
      <c r="X25" s="676">
        <v>2</v>
      </c>
      <c r="Y25" s="631">
        <v>12</v>
      </c>
      <c r="Z25" s="631" t="s">
        <v>1</v>
      </c>
      <c r="AA25" s="676">
        <v>11</v>
      </c>
      <c r="AB25" s="667">
        <v>22</v>
      </c>
    </row>
    <row r="26" spans="1:35" x14ac:dyDescent="0.2">
      <c r="A26" s="555" t="e">
        <f t="array" aca="1" ref="A26:G32" ca="1">[5]!MSQRT(MINVERSE(A17:G23))</f>
        <v>#NAME?</v>
      </c>
      <c r="B26" s="675" t="e">
        <f ca="1"/>
        <v>#NAME?</v>
      </c>
      <c r="C26" s="675" t="e">
        <f ca="1"/>
        <v>#NAME?</v>
      </c>
      <c r="D26" s="555" t="e">
        <f ca="1"/>
        <v>#NAME?</v>
      </c>
      <c r="E26" s="555" t="e">
        <f ca="1"/>
        <v>#NAME?</v>
      </c>
      <c r="F26" s="675" t="e">
        <f ca="1"/>
        <v>#NAME?</v>
      </c>
      <c r="G26" s="674" t="e">
        <f ca="1"/>
        <v>#NAME?</v>
      </c>
      <c r="H26" s="74">
        <v>1</v>
      </c>
      <c r="I26" s="457">
        <v>0</v>
      </c>
      <c r="J26" s="457">
        <v>0</v>
      </c>
      <c r="K26" s="74">
        <v>0</v>
      </c>
      <c r="L26" s="74">
        <v>0</v>
      </c>
      <c r="M26" s="457">
        <v>0</v>
      </c>
      <c r="N26" s="93">
        <v>0</v>
      </c>
      <c r="O26" s="555">
        <v>1</v>
      </c>
      <c r="P26" s="675">
        <v>0</v>
      </c>
      <c r="Q26" s="675">
        <v>0</v>
      </c>
      <c r="R26" s="555">
        <v>0</v>
      </c>
      <c r="S26" s="555">
        <v>0</v>
      </c>
      <c r="T26" s="675">
        <v>0</v>
      </c>
      <c r="U26" s="674">
        <v>0</v>
      </c>
      <c r="V26" s="74">
        <v>1</v>
      </c>
      <c r="W26" s="457">
        <v>0</v>
      </c>
      <c r="X26" s="457">
        <v>0</v>
      </c>
      <c r="Y26" s="74">
        <v>0</v>
      </c>
      <c r="Z26" s="74">
        <v>0</v>
      </c>
      <c r="AA26" s="457">
        <v>0</v>
      </c>
      <c r="AB26" s="93">
        <v>0</v>
      </c>
    </row>
    <row r="27" spans="1:35" x14ac:dyDescent="0.2">
      <c r="A27" s="553" t="e">
        <f ca="1"/>
        <v>#NAME?</v>
      </c>
      <c r="B27" s="673" t="e">
        <f ca="1"/>
        <v>#NAME?</v>
      </c>
      <c r="C27" s="673" t="e">
        <f ca="1"/>
        <v>#NAME?</v>
      </c>
      <c r="D27" s="553" t="e">
        <f ca="1"/>
        <v>#NAME?</v>
      </c>
      <c r="E27" s="553" t="e">
        <f ca="1"/>
        <v>#NAME?</v>
      </c>
      <c r="F27" s="673" t="e">
        <f ca="1"/>
        <v>#NAME?</v>
      </c>
      <c r="G27" s="672" t="e">
        <f ca="1"/>
        <v>#NAME?</v>
      </c>
      <c r="H27" s="450">
        <v>0</v>
      </c>
      <c r="I27" s="1">
        <v>1</v>
      </c>
      <c r="J27" s="1">
        <v>0</v>
      </c>
      <c r="K27" s="450">
        <v>0</v>
      </c>
      <c r="L27" s="450">
        <v>0</v>
      </c>
      <c r="M27" s="1">
        <v>0</v>
      </c>
      <c r="N27" s="90">
        <v>0</v>
      </c>
      <c r="O27" s="553">
        <v>0</v>
      </c>
      <c r="P27" s="673">
        <v>1</v>
      </c>
      <c r="Q27" s="673">
        <v>0</v>
      </c>
      <c r="R27" s="553">
        <v>0</v>
      </c>
      <c r="S27" s="553">
        <v>0</v>
      </c>
      <c r="T27" s="673">
        <v>0</v>
      </c>
      <c r="U27" s="672">
        <v>0</v>
      </c>
      <c r="V27" s="450">
        <v>0</v>
      </c>
      <c r="W27" s="1">
        <v>1</v>
      </c>
      <c r="X27" s="1">
        <v>0</v>
      </c>
      <c r="Y27" s="450">
        <v>0</v>
      </c>
      <c r="Z27" s="450">
        <v>0</v>
      </c>
      <c r="AA27" s="1">
        <v>0</v>
      </c>
      <c r="AB27" s="90">
        <v>0</v>
      </c>
      <c r="AD27"/>
      <c r="AE27"/>
      <c r="AF27"/>
      <c r="AG27"/>
    </row>
    <row r="28" spans="1:35" x14ac:dyDescent="0.2">
      <c r="A28" s="553" t="e">
        <f ca="1"/>
        <v>#NAME?</v>
      </c>
      <c r="B28" s="673" t="e">
        <f ca="1"/>
        <v>#NAME?</v>
      </c>
      <c r="C28" s="673" t="e">
        <f ca="1"/>
        <v>#NAME?</v>
      </c>
      <c r="D28" s="553" t="e">
        <f ca="1"/>
        <v>#NAME?</v>
      </c>
      <c r="E28" s="553" t="e">
        <f ca="1"/>
        <v>#NAME?</v>
      </c>
      <c r="F28" s="673" t="e">
        <f ca="1"/>
        <v>#NAME?</v>
      </c>
      <c r="G28" s="672" t="e">
        <f ca="1"/>
        <v>#NAME?</v>
      </c>
      <c r="H28" s="450">
        <v>0</v>
      </c>
      <c r="I28" s="1">
        <v>0</v>
      </c>
      <c r="J28" s="1">
        <v>1</v>
      </c>
      <c r="K28" s="450">
        <v>0</v>
      </c>
      <c r="L28" s="450">
        <v>0</v>
      </c>
      <c r="M28" s="1">
        <v>0</v>
      </c>
      <c r="N28" s="90">
        <v>0</v>
      </c>
      <c r="O28" s="553">
        <v>0</v>
      </c>
      <c r="P28" s="673">
        <v>0</v>
      </c>
      <c r="Q28" s="673">
        <v>1</v>
      </c>
      <c r="R28" s="553">
        <v>0</v>
      </c>
      <c r="S28" s="553">
        <v>0</v>
      </c>
      <c r="T28" s="673">
        <v>0</v>
      </c>
      <c r="U28" s="672">
        <v>0</v>
      </c>
      <c r="V28" s="450">
        <v>0</v>
      </c>
      <c r="W28" s="1">
        <v>0</v>
      </c>
      <c r="X28" s="1">
        <v>1</v>
      </c>
      <c r="Y28" s="450">
        <v>0</v>
      </c>
      <c r="Z28" s="450">
        <v>0</v>
      </c>
      <c r="AA28" s="1">
        <v>0</v>
      </c>
      <c r="AB28" s="90">
        <v>0</v>
      </c>
      <c r="AD28"/>
      <c r="AE28"/>
      <c r="AF28"/>
      <c r="AG28"/>
    </row>
    <row r="29" spans="1:35" x14ac:dyDescent="0.2">
      <c r="A29" s="555" t="e">
        <f ca="1"/>
        <v>#NAME?</v>
      </c>
      <c r="B29" s="675" t="e">
        <f ca="1"/>
        <v>#NAME?</v>
      </c>
      <c r="C29" s="675" t="e">
        <f ca="1"/>
        <v>#NAME?</v>
      </c>
      <c r="D29" s="555" t="e">
        <f ca="1"/>
        <v>#NAME?</v>
      </c>
      <c r="E29" s="555" t="e">
        <f ca="1"/>
        <v>#NAME?</v>
      </c>
      <c r="F29" s="675" t="e">
        <f ca="1"/>
        <v>#NAME?</v>
      </c>
      <c r="G29" s="674" t="e">
        <f ca="1"/>
        <v>#NAME?</v>
      </c>
      <c r="H29" s="74">
        <v>0</v>
      </c>
      <c r="I29" s="457">
        <v>0</v>
      </c>
      <c r="J29" s="457">
        <v>0</v>
      </c>
      <c r="K29" s="74">
        <v>1</v>
      </c>
      <c r="L29" s="74">
        <v>0</v>
      </c>
      <c r="M29" s="457">
        <v>0</v>
      </c>
      <c r="N29" s="93">
        <v>0</v>
      </c>
      <c r="O29" s="555">
        <v>0</v>
      </c>
      <c r="P29" s="675">
        <v>0</v>
      </c>
      <c r="Q29" s="675">
        <v>0</v>
      </c>
      <c r="R29" s="555">
        <v>1</v>
      </c>
      <c r="S29" s="555">
        <v>0</v>
      </c>
      <c r="T29" s="675">
        <v>0</v>
      </c>
      <c r="U29" s="674">
        <v>0</v>
      </c>
      <c r="V29" s="74">
        <v>0</v>
      </c>
      <c r="W29" s="457">
        <v>0</v>
      </c>
      <c r="X29" s="457">
        <v>0</v>
      </c>
      <c r="Y29" s="74">
        <v>1</v>
      </c>
      <c r="Z29" s="74">
        <v>0</v>
      </c>
      <c r="AA29" s="457">
        <v>0</v>
      </c>
      <c r="AB29" s="93">
        <v>0</v>
      </c>
      <c r="AD29"/>
      <c r="AE29"/>
      <c r="AF29"/>
      <c r="AG29"/>
    </row>
    <row r="30" spans="1:35" x14ac:dyDescent="0.2">
      <c r="A30" s="555" t="e">
        <f ca="1"/>
        <v>#NAME?</v>
      </c>
      <c r="B30" s="675" t="e">
        <f ca="1"/>
        <v>#NAME?</v>
      </c>
      <c r="C30" s="675" t="e">
        <f ca="1"/>
        <v>#NAME?</v>
      </c>
      <c r="D30" s="555" t="e">
        <f ca="1"/>
        <v>#NAME?</v>
      </c>
      <c r="E30" s="555" t="e">
        <f ca="1"/>
        <v>#NAME?</v>
      </c>
      <c r="F30" s="675" t="e">
        <f ca="1"/>
        <v>#NAME?</v>
      </c>
      <c r="G30" s="674" t="e">
        <f ca="1"/>
        <v>#NAME?</v>
      </c>
      <c r="H30" s="74">
        <v>0</v>
      </c>
      <c r="I30" s="457">
        <v>0</v>
      </c>
      <c r="J30" s="457">
        <v>0</v>
      </c>
      <c r="K30" s="74">
        <v>0</v>
      </c>
      <c r="L30" s="74">
        <v>1</v>
      </c>
      <c r="M30" s="457">
        <v>0</v>
      </c>
      <c r="N30" s="93">
        <v>0</v>
      </c>
      <c r="O30" s="555">
        <v>0</v>
      </c>
      <c r="P30" s="675">
        <v>0</v>
      </c>
      <c r="Q30" s="675">
        <v>0</v>
      </c>
      <c r="R30" s="555">
        <v>0</v>
      </c>
      <c r="S30" s="555">
        <v>1</v>
      </c>
      <c r="T30" s="675">
        <v>0</v>
      </c>
      <c r="U30" s="674">
        <v>0</v>
      </c>
      <c r="V30" s="74">
        <v>0</v>
      </c>
      <c r="W30" s="457">
        <v>0</v>
      </c>
      <c r="X30" s="457">
        <v>0</v>
      </c>
      <c r="Y30" s="74">
        <v>0</v>
      </c>
      <c r="Z30" s="74">
        <v>1</v>
      </c>
      <c r="AA30" s="457">
        <v>0</v>
      </c>
      <c r="AB30" s="93">
        <v>0</v>
      </c>
      <c r="AD30"/>
      <c r="AE30"/>
      <c r="AF30"/>
      <c r="AG30"/>
    </row>
    <row r="31" spans="1:35" x14ac:dyDescent="0.2">
      <c r="A31" s="553" t="e">
        <f ca="1"/>
        <v>#NAME?</v>
      </c>
      <c r="B31" s="673" t="e">
        <f ca="1"/>
        <v>#NAME?</v>
      </c>
      <c r="C31" s="673" t="e">
        <f ca="1"/>
        <v>#NAME?</v>
      </c>
      <c r="D31" s="553" t="e">
        <f ca="1"/>
        <v>#NAME?</v>
      </c>
      <c r="E31" s="553" t="e">
        <f ca="1"/>
        <v>#NAME?</v>
      </c>
      <c r="F31" s="673" t="e">
        <f ca="1"/>
        <v>#NAME?</v>
      </c>
      <c r="G31" s="672" t="e">
        <f ca="1"/>
        <v>#NAME?</v>
      </c>
      <c r="H31" s="450">
        <v>0</v>
      </c>
      <c r="I31" s="1">
        <v>0</v>
      </c>
      <c r="J31" s="1">
        <v>0</v>
      </c>
      <c r="K31" s="450">
        <v>0</v>
      </c>
      <c r="L31" s="450">
        <v>0</v>
      </c>
      <c r="M31" s="1" t="e">
        <f ca="1">F31</f>
        <v>#NAME?</v>
      </c>
      <c r="N31" s="90" t="e">
        <f ca="1">G31</f>
        <v>#NAME?</v>
      </c>
      <c r="O31" s="553">
        <v>0</v>
      </c>
      <c r="P31" s="673">
        <v>0</v>
      </c>
      <c r="Q31" s="673">
        <v>0</v>
      </c>
      <c r="R31" s="553">
        <v>0</v>
      </c>
      <c r="S31" s="553">
        <v>0</v>
      </c>
      <c r="T31" s="673" t="e">
        <f ca="1">M31/$M$31</f>
        <v>#NAME?</v>
      </c>
      <c r="U31" s="672" t="e">
        <f ca="1">N31/$M$31</f>
        <v>#NAME?</v>
      </c>
      <c r="V31" s="450">
        <v>0</v>
      </c>
      <c r="W31" s="1">
        <v>0</v>
      </c>
      <c r="X31" s="1">
        <v>0</v>
      </c>
      <c r="Y31" s="450">
        <v>0</v>
      </c>
      <c r="Z31" s="450">
        <v>0</v>
      </c>
      <c r="AA31" s="81" t="e">
        <f ca="1">M31/SQRT(SUMSQ($M$31:$M$32))</f>
        <v>#NAME?</v>
      </c>
      <c r="AB31" s="80" t="e">
        <f ca="1">N31/SQRT(SUMSQ($M$31:$M$32))</f>
        <v>#NAME?</v>
      </c>
      <c r="AD31"/>
      <c r="AE31"/>
      <c r="AF31"/>
      <c r="AG31"/>
    </row>
    <row r="32" spans="1:35" x14ac:dyDescent="0.2">
      <c r="A32" s="552" t="e">
        <f ca="1"/>
        <v>#NAME?</v>
      </c>
      <c r="B32" s="671" t="e">
        <f ca="1"/>
        <v>#NAME?</v>
      </c>
      <c r="C32" s="671" t="e">
        <f ca="1"/>
        <v>#NAME?</v>
      </c>
      <c r="D32" s="552" t="e">
        <f ca="1"/>
        <v>#NAME?</v>
      </c>
      <c r="E32" s="552" t="e">
        <f ca="1"/>
        <v>#NAME?</v>
      </c>
      <c r="F32" s="671" t="e">
        <f ca="1"/>
        <v>#NAME?</v>
      </c>
      <c r="G32" s="670" t="e">
        <f ca="1"/>
        <v>#NAME?</v>
      </c>
      <c r="H32" s="92">
        <v>0</v>
      </c>
      <c r="I32" s="76">
        <v>0</v>
      </c>
      <c r="J32" s="76">
        <v>0</v>
      </c>
      <c r="K32" s="92">
        <v>0</v>
      </c>
      <c r="L32" s="92">
        <v>0</v>
      </c>
      <c r="M32" s="76" t="e">
        <f ca="1">F32</f>
        <v>#NAME?</v>
      </c>
      <c r="N32" s="77" t="e">
        <f ca="1">G32</f>
        <v>#NAME?</v>
      </c>
      <c r="O32" s="552">
        <v>0</v>
      </c>
      <c r="P32" s="671">
        <v>0</v>
      </c>
      <c r="Q32" s="671">
        <v>0</v>
      </c>
      <c r="R32" s="552">
        <v>0</v>
      </c>
      <c r="S32" s="552">
        <v>0</v>
      </c>
      <c r="T32" s="671" t="e">
        <f ca="1">M32/$M$31</f>
        <v>#NAME?</v>
      </c>
      <c r="U32" s="670" t="e">
        <f ca="1">N32/$M$31</f>
        <v>#NAME?</v>
      </c>
      <c r="V32" s="92">
        <v>0</v>
      </c>
      <c r="W32" s="76">
        <v>0</v>
      </c>
      <c r="X32" s="76">
        <v>0</v>
      </c>
      <c r="Y32" s="92">
        <v>0</v>
      </c>
      <c r="Z32" s="92">
        <v>0</v>
      </c>
      <c r="AA32" s="106" t="e">
        <f ca="1">M32/SQRT(SUMSQ($M$31:$M$32))</f>
        <v>#NAME?</v>
      </c>
      <c r="AB32" s="77" t="e">
        <f ca="1">N32/SQRT(SUMSQ($M$31:$M$32))</f>
        <v>#NAME?</v>
      </c>
      <c r="AD32"/>
      <c r="AE32"/>
      <c r="AF32"/>
      <c r="AG32"/>
    </row>
    <row r="33" spans="9:33" x14ac:dyDescent="0.2">
      <c r="I33"/>
      <c r="J33"/>
      <c r="K33"/>
      <c r="L33"/>
      <c r="M33"/>
      <c r="N33"/>
      <c r="AD33"/>
      <c r="AE33"/>
      <c r="AF33"/>
      <c r="AG33"/>
    </row>
  </sheetData>
  <mergeCells count="14">
    <mergeCell ref="AC1:AI1"/>
    <mergeCell ref="AC15:AI15"/>
    <mergeCell ref="V24:AB24"/>
    <mergeCell ref="A24:G24"/>
    <mergeCell ref="H1:N1"/>
    <mergeCell ref="H15:N15"/>
    <mergeCell ref="H24:N24"/>
    <mergeCell ref="O15:U15"/>
    <mergeCell ref="O24:U24"/>
    <mergeCell ref="O1:U1"/>
    <mergeCell ref="A1:G1"/>
    <mergeCell ref="A15:G15"/>
    <mergeCell ref="V1:AB1"/>
    <mergeCell ref="V15:AB15"/>
  </mergeCells>
  <conditionalFormatting sqref="A17:G23">
    <cfRule type="cellIs" dxfId="44" priority="9" operator="between">
      <formula>-0.0001</formula>
      <formula>0.0001</formula>
    </cfRule>
  </conditionalFormatting>
  <conditionalFormatting sqref="A26:G32">
    <cfRule type="cellIs" dxfId="43" priority="3" operator="between">
      <formula>-0.0001</formula>
      <formula>0.0001</formula>
    </cfRule>
  </conditionalFormatting>
  <conditionalFormatting sqref="H17:N23">
    <cfRule type="cellIs" dxfId="42" priority="8" operator="between">
      <formula>-0.0001</formula>
      <formula>0.0001</formula>
    </cfRule>
  </conditionalFormatting>
  <conditionalFormatting sqref="H26:N32">
    <cfRule type="cellIs" dxfId="41" priority="7" operator="between">
      <formula>-0.0001</formula>
      <formula>0.0001</formula>
    </cfRule>
  </conditionalFormatting>
  <conditionalFormatting sqref="O17:U23">
    <cfRule type="cellIs" dxfId="40" priority="6" operator="between">
      <formula>-0.0001</formula>
      <formula>0.0001</formula>
    </cfRule>
  </conditionalFormatting>
  <conditionalFormatting sqref="O26:U32">
    <cfRule type="cellIs" dxfId="39" priority="2" operator="between">
      <formula>-0.0001</formula>
      <formula>0.0001</formula>
    </cfRule>
  </conditionalFormatting>
  <conditionalFormatting sqref="V17:AB23">
    <cfRule type="cellIs" dxfId="38" priority="1" operator="between">
      <formula>-0.0001</formula>
      <formula>0.0001</formula>
    </cfRule>
  </conditionalFormatting>
  <conditionalFormatting sqref="V26:AB32">
    <cfRule type="cellIs" dxfId="37" priority="4" operator="between">
      <formula>-0.0001</formula>
      <formula>0.0001</formula>
    </cfRule>
  </conditionalFormatting>
  <conditionalFormatting sqref="AC17:AI23">
    <cfRule type="cellIs" dxfId="36" priority="5" operator="between">
      <formula>-0.0001</formula>
      <formula>0.0001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F8F7A-FBDD-4942-853A-73F32CA560AF}">
  <dimension ref="A1:T36"/>
  <sheetViews>
    <sheetView zoomScaleNormal="100" workbookViewId="0">
      <selection activeCell="W6" sqref="W6"/>
    </sheetView>
  </sheetViews>
  <sheetFormatPr baseColWidth="10" defaultColWidth="6.83203125" defaultRowHeight="16" x14ac:dyDescent="0.2"/>
  <cols>
    <col min="1" max="6" width="6.83203125" style="94" customWidth="1"/>
    <col min="7" max="7" width="6.83203125" style="1" customWidth="1"/>
    <col min="8" max="10" width="6.83203125" style="1"/>
    <col min="11" max="11" width="6.83203125" style="1" customWidth="1"/>
    <col min="12" max="14" width="6.83203125" style="1"/>
    <col min="15" max="15" width="3.83203125" style="1" customWidth="1"/>
    <col min="16" max="16" width="6.83203125" style="1" customWidth="1"/>
    <col min="17" max="18" width="7" style="1" bestFit="1" customWidth="1"/>
    <col min="19" max="20" width="6.83203125" style="1" customWidth="1"/>
    <col min="21" max="16384" width="6.83203125" style="1"/>
  </cols>
  <sheetData>
    <row r="1" spans="1:20" x14ac:dyDescent="0.2">
      <c r="A1" s="1357" t="s">
        <v>14</v>
      </c>
      <c r="B1" s="1346"/>
      <c r="C1" s="1346"/>
      <c r="D1" s="1346"/>
      <c r="E1" s="1346"/>
      <c r="F1" s="1346"/>
      <c r="G1" s="1452" t="s">
        <v>219</v>
      </c>
      <c r="H1" s="1454" t="s">
        <v>48</v>
      </c>
      <c r="I1" s="1456" t="s">
        <v>276</v>
      </c>
      <c r="J1" s="1450"/>
      <c r="K1" s="1450"/>
      <c r="L1" s="1450"/>
      <c r="M1" s="1450"/>
      <c r="N1" s="1451"/>
      <c r="P1" s="1357" t="s">
        <v>275</v>
      </c>
      <c r="Q1" s="1346"/>
      <c r="R1" s="1346"/>
      <c r="S1" s="1360"/>
      <c r="T1" s="1454" t="s">
        <v>48</v>
      </c>
    </row>
    <row r="2" spans="1:20" ht="19" x14ac:dyDescent="0.25">
      <c r="A2" s="524">
        <v>0</v>
      </c>
      <c r="B2" s="464" t="s">
        <v>267</v>
      </c>
      <c r="C2" s="464" t="s">
        <v>266</v>
      </c>
      <c r="D2" s="464" t="s">
        <v>274</v>
      </c>
      <c r="E2" s="669" t="s">
        <v>272</v>
      </c>
      <c r="F2" s="669" t="s">
        <v>273</v>
      </c>
      <c r="G2" s="1453"/>
      <c r="H2" s="1455"/>
      <c r="I2" s="454" t="s">
        <v>259</v>
      </c>
      <c r="J2" s="7" t="s">
        <v>30</v>
      </c>
      <c r="K2" s="454" t="s">
        <v>31</v>
      </c>
      <c r="L2" s="464" t="s">
        <v>32</v>
      </c>
      <c r="M2" s="122" t="s">
        <v>3</v>
      </c>
      <c r="N2" s="121" t="s">
        <v>33</v>
      </c>
      <c r="P2" s="524">
        <v>0</v>
      </c>
      <c r="Q2" s="464" t="s">
        <v>267</v>
      </c>
      <c r="R2" s="464" t="s">
        <v>266</v>
      </c>
      <c r="S2" s="668" t="s">
        <v>272</v>
      </c>
      <c r="T2" s="1455"/>
    </row>
    <row r="3" spans="1:20" x14ac:dyDescent="0.2">
      <c r="A3" s="39">
        <v>1</v>
      </c>
      <c r="B3" s="40">
        <v>-1</v>
      </c>
      <c r="C3" s="40">
        <v>-1</v>
      </c>
      <c r="D3" s="40">
        <f t="shared" ref="D3:D8" si="0">B3*C3</f>
        <v>1</v>
      </c>
      <c r="E3" s="500">
        <f t="shared" ref="E3:E14" si="1">B3^2-2/3</f>
        <v>0.33333333333333337</v>
      </c>
      <c r="F3" s="500">
        <f t="shared" ref="F3:F14" si="2">C3^2-2/3</f>
        <v>0.33333333333333337</v>
      </c>
      <c r="G3" s="523">
        <v>1.1180000000000001</v>
      </c>
      <c r="H3" s="124">
        <f t="array" ref="H3:H14">MMULT(X,J12:J17)</f>
        <v>1.2678738456605017</v>
      </c>
      <c r="I3" s="519">
        <v>1</v>
      </c>
      <c r="J3" s="653">
        <f>G17*J13</f>
        <v>0.64121737415539304</v>
      </c>
      <c r="K3" s="475">
        <v>1</v>
      </c>
      <c r="L3" s="652">
        <f t="shared" ref="L3:L8" si="3">J3/K3</f>
        <v>0.64121737415539304</v>
      </c>
      <c r="M3" s="514">
        <f>L3/L$8</f>
        <v>8.5778594229665792</v>
      </c>
      <c r="N3" s="651">
        <f>FDIST(M3,K3,K$8)</f>
        <v>2.6328185765273838E-2</v>
      </c>
      <c r="O3" s="1" t="str">
        <f t="shared" ref="O3:O9" si="4">IF(N3&lt;=0.05,"*","")</f>
        <v>*</v>
      </c>
      <c r="P3" s="39">
        <v>1</v>
      </c>
      <c r="Q3" s="40">
        <f t="shared" ref="Q3:Q14" si="5">B3</f>
        <v>-1</v>
      </c>
      <c r="R3" s="40">
        <f t="shared" ref="R3:R14" si="6">C3</f>
        <v>-1</v>
      </c>
      <c r="S3" s="467">
        <f t="shared" ref="S3:S14" si="7">E3</f>
        <v>0.33333333333333337</v>
      </c>
      <c r="T3" s="124">
        <f t="array" ref="T3:T14">MMULT(X_sig,J28:J31)</f>
        <v>1.2204738456605015</v>
      </c>
    </row>
    <row r="4" spans="1:20" x14ac:dyDescent="0.2">
      <c r="A4" s="448">
        <v>1</v>
      </c>
      <c r="B4" s="94">
        <v>-1</v>
      </c>
      <c r="C4" s="94">
        <v>1</v>
      </c>
      <c r="D4" s="94">
        <f t="shared" si="0"/>
        <v>-1</v>
      </c>
      <c r="E4" s="499">
        <f t="shared" si="1"/>
        <v>0.33333333333333337</v>
      </c>
      <c r="F4" s="499">
        <f t="shared" si="2"/>
        <v>0.33333333333333337</v>
      </c>
      <c r="G4" s="514">
        <v>1.8029999999999999</v>
      </c>
      <c r="H4" s="37">
        <v>1.9933493321392921</v>
      </c>
      <c r="I4" s="519">
        <v>2</v>
      </c>
      <c r="J4" s="653">
        <f>G18*J14</f>
        <v>1.2182839699886103</v>
      </c>
      <c r="K4" s="475">
        <v>1</v>
      </c>
      <c r="L4" s="652">
        <f t="shared" si="3"/>
        <v>1.2182839699886103</v>
      </c>
      <c r="M4" s="514">
        <f>L4/L$8</f>
        <v>16.297544410085511</v>
      </c>
      <c r="N4" s="651">
        <f>FDIST(M4,K4,K$8)</f>
        <v>6.825716504144686E-3</v>
      </c>
      <c r="O4" s="1" t="str">
        <f t="shared" si="4"/>
        <v>*</v>
      </c>
      <c r="P4" s="448">
        <v>1</v>
      </c>
      <c r="Q4" s="94">
        <f t="shared" si="5"/>
        <v>-1</v>
      </c>
      <c r="R4" s="94">
        <f t="shared" si="6"/>
        <v>1</v>
      </c>
      <c r="S4" s="468">
        <f t="shared" si="7"/>
        <v>0.33333333333333337</v>
      </c>
      <c r="T4" s="37">
        <v>2.0009493321392924</v>
      </c>
    </row>
    <row r="5" spans="1:20" x14ac:dyDescent="0.2">
      <c r="A5" s="448">
        <v>1</v>
      </c>
      <c r="B5" s="94">
        <v>1</v>
      </c>
      <c r="C5" s="94">
        <v>-1</v>
      </c>
      <c r="D5" s="94">
        <f t="shared" si="0"/>
        <v>-1</v>
      </c>
      <c r="E5" s="499">
        <f t="shared" si="1"/>
        <v>0.33333333333333337</v>
      </c>
      <c r="F5" s="499">
        <f t="shared" si="2"/>
        <v>0.33333333333333337</v>
      </c>
      <c r="G5" s="514">
        <v>0.56200000000000006</v>
      </c>
      <c r="H5" s="37">
        <v>0.64665066786070813</v>
      </c>
      <c r="I5" s="519">
        <v>12</v>
      </c>
      <c r="J5" s="653">
        <f>G19*J15</f>
        <v>3.0250000000000055E-3</v>
      </c>
      <c r="K5" s="475">
        <v>1</v>
      </c>
      <c r="L5" s="652">
        <f t="shared" si="3"/>
        <v>3.0250000000000055E-3</v>
      </c>
      <c r="M5" s="514">
        <f>L5/L$8</f>
        <v>4.0466814843644103E-2</v>
      </c>
      <c r="N5" s="651">
        <f>FDIST(M5,K5,K$8)</f>
        <v>0.84721684949886433</v>
      </c>
      <c r="O5" s="1" t="str">
        <f t="shared" si="4"/>
        <v/>
      </c>
      <c r="P5" s="448">
        <v>1</v>
      </c>
      <c r="Q5" s="94">
        <f t="shared" si="5"/>
        <v>1</v>
      </c>
      <c r="R5" s="94">
        <f t="shared" si="6"/>
        <v>-1</v>
      </c>
      <c r="S5" s="468">
        <f t="shared" si="7"/>
        <v>0.33333333333333337</v>
      </c>
      <c r="T5" s="37">
        <v>0.65425066786070807</v>
      </c>
    </row>
    <row r="6" spans="1:20" x14ac:dyDescent="0.2">
      <c r="A6" s="95">
        <v>1</v>
      </c>
      <c r="B6" s="96">
        <v>1</v>
      </c>
      <c r="C6" s="96">
        <v>1</v>
      </c>
      <c r="D6" s="96">
        <f t="shared" si="0"/>
        <v>1</v>
      </c>
      <c r="E6" s="498">
        <f t="shared" si="1"/>
        <v>0.33333333333333337</v>
      </c>
      <c r="F6" s="498">
        <f t="shared" si="2"/>
        <v>0.33333333333333337</v>
      </c>
      <c r="G6" s="514">
        <v>1.357</v>
      </c>
      <c r="H6" s="37">
        <v>1.4821261543394988</v>
      </c>
      <c r="I6" s="667" t="s">
        <v>271</v>
      </c>
      <c r="J6" s="650">
        <f>J7-SUM(J3:J5)</f>
        <v>0.96487566666666558</v>
      </c>
      <c r="K6" s="474">
        <v>2</v>
      </c>
      <c r="L6" s="649">
        <f t="shared" si="3"/>
        <v>0.48243783333333279</v>
      </c>
      <c r="M6" s="648">
        <f>L6/L$8</f>
        <v>6.4537925537417431</v>
      </c>
      <c r="N6" s="647">
        <f>FDIST(M6,K6,K$8)</f>
        <v>3.1955495740440612E-2</v>
      </c>
      <c r="O6" s="1" t="str">
        <f t="shared" si="4"/>
        <v>*</v>
      </c>
      <c r="P6" s="95">
        <v>1</v>
      </c>
      <c r="Q6" s="96">
        <f t="shared" si="5"/>
        <v>1</v>
      </c>
      <c r="R6" s="96">
        <f t="shared" si="6"/>
        <v>1</v>
      </c>
      <c r="S6" s="466">
        <f t="shared" si="7"/>
        <v>0.33333333333333337</v>
      </c>
      <c r="T6" s="37">
        <v>1.4347261543394987</v>
      </c>
    </row>
    <row r="7" spans="1:20" x14ac:dyDescent="0.2">
      <c r="A7" s="39">
        <v>1</v>
      </c>
      <c r="B7" s="40">
        <v>0</v>
      </c>
      <c r="C7" s="40">
        <v>0</v>
      </c>
      <c r="D7" s="40">
        <f t="shared" si="0"/>
        <v>0</v>
      </c>
      <c r="E7" s="500">
        <f t="shared" si="1"/>
        <v>-0.66666666666666663</v>
      </c>
      <c r="F7" s="500">
        <f t="shared" si="2"/>
        <v>-0.66666666666666663</v>
      </c>
      <c r="G7" s="523">
        <v>1.075</v>
      </c>
      <c r="H7" s="124">
        <v>0.91050000000000009</v>
      </c>
      <c r="I7" s="666" t="s">
        <v>5</v>
      </c>
      <c r="J7" s="645">
        <f>SUMSQ(y_hat)-COUNT(y)*AVERAGE(y)^2</f>
        <v>2.827402010810669</v>
      </c>
      <c r="K7" s="41">
        <f>COLUMNS(X)-1</f>
        <v>5</v>
      </c>
      <c r="L7" s="644">
        <f t="shared" si="3"/>
        <v>0.5654804021621338</v>
      </c>
      <c r="M7" s="523">
        <f>L7/L$8</f>
        <v>7.5646911510758441</v>
      </c>
      <c r="N7" s="642">
        <f>FDIST(M7,K7,K$8)</f>
        <v>1.4320637988572169E-2</v>
      </c>
      <c r="O7" s="1" t="str">
        <f t="shared" si="4"/>
        <v>*</v>
      </c>
      <c r="P7" s="39">
        <v>1</v>
      </c>
      <c r="Q7" s="40">
        <f t="shared" si="5"/>
        <v>0</v>
      </c>
      <c r="R7" s="40">
        <f t="shared" si="6"/>
        <v>0</v>
      </c>
      <c r="S7" s="467">
        <f t="shared" si="7"/>
        <v>-0.66666666666666663</v>
      </c>
      <c r="T7" s="124">
        <v>0.95030000000000026</v>
      </c>
    </row>
    <row r="8" spans="1:20" x14ac:dyDescent="0.2">
      <c r="A8" s="95">
        <v>1</v>
      </c>
      <c r="B8" s="96">
        <v>0</v>
      </c>
      <c r="C8" s="96">
        <v>0</v>
      </c>
      <c r="D8" s="96">
        <f t="shared" si="0"/>
        <v>0</v>
      </c>
      <c r="E8" s="498">
        <f t="shared" si="1"/>
        <v>-0.66666666666666663</v>
      </c>
      <c r="F8" s="498">
        <f t="shared" si="2"/>
        <v>-0.66666666666666663</v>
      </c>
      <c r="G8" s="512">
        <v>0.53</v>
      </c>
      <c r="H8" s="66">
        <v>0.91050000000000009</v>
      </c>
      <c r="I8" s="665" t="s">
        <v>6</v>
      </c>
      <c r="J8" s="639">
        <f>SUMSQ(y)-SUMSQ(y_hat)</f>
        <v>0.44851565585599218</v>
      </c>
      <c r="K8" s="97">
        <f>COUNT(y)-COLUMNS(X)</f>
        <v>6</v>
      </c>
      <c r="L8" s="643">
        <f t="shared" si="3"/>
        <v>7.475260930933203E-2</v>
      </c>
      <c r="M8" s="129" t="s">
        <v>262</v>
      </c>
      <c r="N8" s="642">
        <f>SQRT(L8)</f>
        <v>0.27340923413325313</v>
      </c>
      <c r="O8" s="1" t="str">
        <f t="shared" si="4"/>
        <v/>
      </c>
      <c r="P8" s="95">
        <v>1</v>
      </c>
      <c r="Q8" s="96">
        <f t="shared" si="5"/>
        <v>0</v>
      </c>
      <c r="R8" s="96">
        <f t="shared" si="6"/>
        <v>0</v>
      </c>
      <c r="S8" s="466">
        <f t="shared" si="7"/>
        <v>-0.66666666666666663</v>
      </c>
      <c r="T8" s="66">
        <v>0.95030000000000026</v>
      </c>
    </row>
    <row r="9" spans="1:20" ht="18" x14ac:dyDescent="0.2">
      <c r="A9" s="39">
        <v>1</v>
      </c>
      <c r="B9" s="640">
        <f>-SQRT(2)</f>
        <v>-1.4142135623730951</v>
      </c>
      <c r="C9" s="40">
        <v>0</v>
      </c>
      <c r="D9" s="40">
        <v>0</v>
      </c>
      <c r="E9" s="500">
        <f t="shared" si="1"/>
        <v>1.3333333333333339</v>
      </c>
      <c r="F9" s="500">
        <f t="shared" si="2"/>
        <v>-0.66666666666666663</v>
      </c>
      <c r="G9" s="514">
        <v>2.2690000000000001</v>
      </c>
      <c r="H9" s="37">
        <v>2.0853802486872302</v>
      </c>
      <c r="I9" s="665" t="s">
        <v>7</v>
      </c>
      <c r="J9" s="639">
        <f>SUMSQ(y)-COUNT(y)*AVERAGE(y)^2</f>
        <v>3.2759176666666612</v>
      </c>
      <c r="K9" s="97">
        <f>COUNT(y)-1</f>
        <v>11</v>
      </c>
      <c r="L9" s="96"/>
      <c r="M9" s="127" t="s">
        <v>261</v>
      </c>
      <c r="N9" s="638">
        <f>J7/J9</f>
        <v>0.86308701820568967</v>
      </c>
      <c r="O9" s="1" t="str">
        <f t="shared" si="4"/>
        <v/>
      </c>
      <c r="P9" s="39">
        <v>1</v>
      </c>
      <c r="Q9" s="640">
        <f t="shared" si="5"/>
        <v>-1.4142135623730951</v>
      </c>
      <c r="R9" s="40">
        <f t="shared" si="6"/>
        <v>0</v>
      </c>
      <c r="S9" s="467">
        <f t="shared" si="7"/>
        <v>1.3333333333333339</v>
      </c>
      <c r="T9" s="37">
        <v>2.1052802486872304</v>
      </c>
    </row>
    <row r="10" spans="1:20" x14ac:dyDescent="0.2">
      <c r="A10" s="448">
        <v>1</v>
      </c>
      <c r="B10" s="637">
        <v>0</v>
      </c>
      <c r="C10" s="636">
        <f>-SQRT(2)</f>
        <v>-1.4142135623730951</v>
      </c>
      <c r="D10" s="94">
        <v>0</v>
      </c>
      <c r="E10" s="499">
        <f t="shared" si="1"/>
        <v>-0.66666666666666663</v>
      </c>
      <c r="F10" s="499">
        <f t="shared" si="2"/>
        <v>1.3333333333333339</v>
      </c>
      <c r="G10" s="514">
        <v>0.56699999999999995</v>
      </c>
      <c r="H10" s="37">
        <v>0.45812049096097784</v>
      </c>
      <c r="I10" s="1456" t="s">
        <v>270</v>
      </c>
      <c r="J10" s="1450"/>
      <c r="K10" s="1450"/>
      <c r="L10" s="1450"/>
      <c r="M10" s="1450"/>
      <c r="N10" s="1451"/>
      <c r="P10" s="448">
        <v>1</v>
      </c>
      <c r="Q10" s="637">
        <f t="shared" si="5"/>
        <v>0</v>
      </c>
      <c r="R10" s="636">
        <f t="shared" si="6"/>
        <v>-1.4142135623730951</v>
      </c>
      <c r="S10" s="468">
        <f t="shared" si="7"/>
        <v>-0.66666666666666663</v>
      </c>
      <c r="T10" s="37">
        <v>0.39842049096097765</v>
      </c>
    </row>
    <row r="11" spans="1:20" x14ac:dyDescent="0.2">
      <c r="A11" s="448">
        <v>1</v>
      </c>
      <c r="B11" s="94">
        <v>0</v>
      </c>
      <c r="C11" s="635">
        <f>SQRT(2)</f>
        <v>1.4142135623730951</v>
      </c>
      <c r="D11" s="94">
        <v>0</v>
      </c>
      <c r="E11" s="499">
        <f t="shared" si="1"/>
        <v>-0.66666666666666663</v>
      </c>
      <c r="F11" s="499">
        <f t="shared" si="2"/>
        <v>1.3333333333333339</v>
      </c>
      <c r="G11" s="514">
        <v>1.728</v>
      </c>
      <c r="H11" s="37">
        <v>1.561879509039023</v>
      </c>
      <c r="I11" s="130" t="s">
        <v>259</v>
      </c>
      <c r="J11" s="634" t="s">
        <v>39</v>
      </c>
      <c r="K11" s="633" t="s">
        <v>183</v>
      </c>
      <c r="M11" s="72" t="s">
        <v>43</v>
      </c>
      <c r="N11" s="73" t="s">
        <v>33</v>
      </c>
      <c r="O11"/>
      <c r="P11" s="448">
        <v>1</v>
      </c>
      <c r="Q11" s="94">
        <f t="shared" si="5"/>
        <v>0</v>
      </c>
      <c r="R11" s="635">
        <f t="shared" si="6"/>
        <v>1.4142135623730951</v>
      </c>
      <c r="S11" s="468">
        <f t="shared" si="7"/>
        <v>-0.66666666666666663</v>
      </c>
      <c r="T11" s="37">
        <v>1.5021795090390229</v>
      </c>
    </row>
    <row r="12" spans="1:20" x14ac:dyDescent="0.2">
      <c r="A12" s="95">
        <v>1</v>
      </c>
      <c r="B12" s="632">
        <f>SQRT(2)</f>
        <v>1.4142135623730951</v>
      </c>
      <c r="C12" s="96">
        <v>0</v>
      </c>
      <c r="D12" s="96">
        <v>0</v>
      </c>
      <c r="E12" s="498">
        <f t="shared" si="1"/>
        <v>1.3333333333333339</v>
      </c>
      <c r="F12" s="498">
        <f t="shared" si="2"/>
        <v>-0.66666666666666663</v>
      </c>
      <c r="G12" s="514">
        <v>1.3759999999999999</v>
      </c>
      <c r="H12" s="37">
        <v>1.28461975131277</v>
      </c>
      <c r="I12" s="631">
        <v>0</v>
      </c>
      <c r="J12" s="630">
        <f t="array" ref="J12:J17">MMULT(A23:F28,G16:G21)</f>
        <v>1.2018333333333335</v>
      </c>
      <c r="K12" s="629" t="e">
        <f t="array" aca="1" ref="K12:K17" ca="1">SQRT([5]!DIAG(A23:F28)*L8)</f>
        <v>#NAME?</v>
      </c>
      <c r="M12" s="630" t="e">
        <f t="shared" ref="M12:M17" ca="1" si="8">J12/K12</f>
        <v>#NAME?</v>
      </c>
      <c r="N12" s="629" t="e">
        <f t="shared" ref="N12:N17" ca="1" si="9">TDIST(ABS(M12),K$8,2)</f>
        <v>#NAME?</v>
      </c>
      <c r="O12" s="1" t="e">
        <f t="shared" ref="O12:O17" ca="1" si="10">IF(N12&lt;=0.05,"*","")</f>
        <v>#NAME?</v>
      </c>
      <c r="P12" s="95">
        <v>1</v>
      </c>
      <c r="Q12" s="632">
        <f t="shared" si="5"/>
        <v>1.4142135623730951</v>
      </c>
      <c r="R12" s="96">
        <f t="shared" si="6"/>
        <v>0</v>
      </c>
      <c r="S12" s="466">
        <f t="shared" si="7"/>
        <v>1.3333333333333339</v>
      </c>
      <c r="T12" s="37">
        <v>1.3045197513127702</v>
      </c>
    </row>
    <row r="13" spans="1:20" x14ac:dyDescent="0.2">
      <c r="A13" s="39">
        <v>1</v>
      </c>
      <c r="B13" s="40">
        <v>0</v>
      </c>
      <c r="C13" s="40">
        <v>0</v>
      </c>
      <c r="D13" s="40">
        <f>B13*C13</f>
        <v>0</v>
      </c>
      <c r="E13" s="500">
        <f t="shared" si="1"/>
        <v>-0.66666666666666663</v>
      </c>
      <c r="F13" s="500">
        <f t="shared" si="2"/>
        <v>-0.66666666666666663</v>
      </c>
      <c r="G13" s="523">
        <v>0.80600000000000005</v>
      </c>
      <c r="H13" s="124">
        <v>0.91050000000000009</v>
      </c>
      <c r="I13" s="515">
        <v>1</v>
      </c>
      <c r="J13" s="507">
        <v>-0.28311158889989674</v>
      </c>
      <c r="K13" s="628" t="e">
        <f ca="1"/>
        <v>#NAME?</v>
      </c>
      <c r="M13" s="507" t="e">
        <f t="shared" ca="1" si="8"/>
        <v>#NAME?</v>
      </c>
      <c r="N13" s="628" t="e">
        <f t="shared" ca="1" si="9"/>
        <v>#NAME?</v>
      </c>
      <c r="O13" s="1" t="e">
        <f t="shared" ca="1" si="10"/>
        <v>#NAME?</v>
      </c>
      <c r="P13" s="39">
        <v>1</v>
      </c>
      <c r="Q13" s="40">
        <f t="shared" si="5"/>
        <v>0</v>
      </c>
      <c r="R13" s="40">
        <f t="shared" si="6"/>
        <v>0</v>
      </c>
      <c r="S13" s="467">
        <f t="shared" si="7"/>
        <v>-0.66666666666666663</v>
      </c>
      <c r="T13" s="124">
        <v>0.95030000000000026</v>
      </c>
    </row>
    <row r="14" spans="1:20" x14ac:dyDescent="0.2">
      <c r="A14" s="95">
        <v>1</v>
      </c>
      <c r="B14" s="96">
        <v>0</v>
      </c>
      <c r="C14" s="96">
        <v>0</v>
      </c>
      <c r="D14" s="96">
        <f>B14*C14</f>
        <v>0</v>
      </c>
      <c r="E14" s="498">
        <f t="shared" si="1"/>
        <v>-0.66666666666666663</v>
      </c>
      <c r="F14" s="498">
        <f t="shared" si="2"/>
        <v>-0.66666666666666663</v>
      </c>
      <c r="G14" s="512">
        <v>1.2310000000000001</v>
      </c>
      <c r="H14" s="66">
        <v>0.91050000000000009</v>
      </c>
      <c r="I14" s="515">
        <v>2</v>
      </c>
      <c r="J14" s="507">
        <v>0.39023774323939542</v>
      </c>
      <c r="K14" s="628" t="e">
        <f ca="1"/>
        <v>#NAME?</v>
      </c>
      <c r="M14" s="507" t="e">
        <f t="shared" ca="1" si="8"/>
        <v>#NAME?</v>
      </c>
      <c r="N14" s="628" t="e">
        <f t="shared" ca="1" si="9"/>
        <v>#NAME?</v>
      </c>
      <c r="O14" s="1" t="e">
        <f t="shared" ca="1" si="10"/>
        <v>#NAME?</v>
      </c>
      <c r="P14" s="95">
        <v>1</v>
      </c>
      <c r="Q14" s="96">
        <f t="shared" si="5"/>
        <v>0</v>
      </c>
      <c r="R14" s="96">
        <f t="shared" si="6"/>
        <v>0</v>
      </c>
      <c r="S14" s="466">
        <f t="shared" si="7"/>
        <v>-0.66666666666666663</v>
      </c>
      <c r="T14" s="66">
        <v>0.95030000000000026</v>
      </c>
    </row>
    <row r="15" spans="1:20" ht="18" x14ac:dyDescent="0.2">
      <c r="A15" s="1371" t="s">
        <v>269</v>
      </c>
      <c r="B15" s="1331"/>
      <c r="C15" s="1331"/>
      <c r="D15" s="1331"/>
      <c r="E15" s="1331"/>
      <c r="F15" s="1331"/>
      <c r="G15" s="664" t="s">
        <v>34</v>
      </c>
      <c r="H15" s="663"/>
      <c r="I15" s="631">
        <v>12</v>
      </c>
      <c r="J15" s="630">
        <v>2.7500000000000024E-2</v>
      </c>
      <c r="K15" s="629" t="e">
        <f ca="1"/>
        <v>#NAME?</v>
      </c>
      <c r="M15" s="630" t="e">
        <f t="shared" ca="1" si="8"/>
        <v>#NAME?</v>
      </c>
      <c r="N15" s="629" t="e">
        <f t="shared" ca="1" si="9"/>
        <v>#NAME?</v>
      </c>
      <c r="O15" s="1" t="e">
        <f t="shared" ca="1" si="10"/>
        <v>#NAME?</v>
      </c>
      <c r="P15" s="1357" t="s">
        <v>268</v>
      </c>
      <c r="Q15" s="1346"/>
      <c r="R15" s="1346"/>
      <c r="S15" s="1360"/>
      <c r="T15" s="662" t="s">
        <v>34</v>
      </c>
    </row>
    <row r="16" spans="1:20" x14ac:dyDescent="0.2">
      <c r="A16" s="452">
        <f t="array" ref="A16:F21">MMULT(TRANSPOSE(X),X)</f>
        <v>12</v>
      </c>
      <c r="B16" s="473">
        <v>0</v>
      </c>
      <c r="C16" s="473">
        <v>0</v>
      </c>
      <c r="D16" s="452">
        <v>0</v>
      </c>
      <c r="E16" s="473">
        <v>1.5543122344752192E-15</v>
      </c>
      <c r="F16" s="474">
        <v>1.5543122344752192E-15</v>
      </c>
      <c r="G16" s="657">
        <f t="array" ref="G16:G21">MMULT(TRANSPOSE(X),y)</f>
        <v>14.422000000000002</v>
      </c>
      <c r="H16" s="661"/>
      <c r="I16" s="515">
        <v>11</v>
      </c>
      <c r="J16" s="507">
        <v>0.38724999999999993</v>
      </c>
      <c r="K16" s="660" t="e">
        <f ca="1"/>
        <v>#NAME?</v>
      </c>
      <c r="M16" s="507" t="e">
        <f t="shared" ca="1" si="8"/>
        <v>#NAME?</v>
      </c>
      <c r="N16" s="628" t="e">
        <f t="shared" ca="1" si="9"/>
        <v>#NAME?</v>
      </c>
      <c r="O16" s="1" t="e">
        <f t="shared" ca="1" si="10"/>
        <v>#NAME?</v>
      </c>
      <c r="P16" s="451">
        <f t="array" ref="P16:S19">MMULT(TRANSPOSE(X_sig),X_sig)</f>
        <v>12</v>
      </c>
      <c r="Q16" s="641">
        <v>0</v>
      </c>
      <c r="R16" s="641">
        <v>0</v>
      </c>
      <c r="S16" s="451">
        <v>1.5543122344752192E-15</v>
      </c>
      <c r="T16" s="656">
        <f t="array" ref="T16:T19">MMULT(TRANSPOSE(X_sig),y)</f>
        <v>14.422000000000002</v>
      </c>
    </row>
    <row r="17" spans="1:20" x14ac:dyDescent="0.2">
      <c r="A17" s="448">
        <v>0</v>
      </c>
      <c r="B17" s="94">
        <v>8</v>
      </c>
      <c r="C17" s="94">
        <v>0</v>
      </c>
      <c r="D17" s="448">
        <v>0</v>
      </c>
      <c r="E17" s="94">
        <v>0</v>
      </c>
      <c r="F17" s="475">
        <v>0</v>
      </c>
      <c r="G17" s="655">
        <v>-2.2648927111991739</v>
      </c>
      <c r="I17" s="513">
        <v>22</v>
      </c>
      <c r="J17" s="509">
        <v>4.97500000000001E-2</v>
      </c>
      <c r="K17" s="627" t="e">
        <f ca="1"/>
        <v>#NAME?</v>
      </c>
      <c r="M17" s="509" t="e">
        <f t="shared" ca="1" si="8"/>
        <v>#NAME?</v>
      </c>
      <c r="N17" s="627" t="e">
        <f t="shared" ca="1" si="9"/>
        <v>#NAME?</v>
      </c>
      <c r="O17" s="1" t="e">
        <f t="shared" ca="1" si="10"/>
        <v>#NAME?</v>
      </c>
      <c r="P17" s="447">
        <v>0</v>
      </c>
      <c r="Q17" s="476">
        <v>8</v>
      </c>
      <c r="R17" s="476">
        <v>0</v>
      </c>
      <c r="S17" s="447">
        <v>0</v>
      </c>
      <c r="T17" s="658">
        <v>-2.2648927111991739</v>
      </c>
    </row>
    <row r="18" spans="1:20" x14ac:dyDescent="0.2">
      <c r="A18" s="448">
        <v>0</v>
      </c>
      <c r="B18" s="94">
        <v>0</v>
      </c>
      <c r="C18" s="94">
        <v>8</v>
      </c>
      <c r="D18" s="448">
        <v>0</v>
      </c>
      <c r="E18" s="94">
        <v>0</v>
      </c>
      <c r="F18" s="475">
        <v>0</v>
      </c>
      <c r="G18" s="655">
        <v>3.1219019459151633</v>
      </c>
      <c r="I18" s="1369" t="s">
        <v>265</v>
      </c>
      <c r="J18" s="1450"/>
      <c r="K18" s="1450"/>
      <c r="L18" s="1450"/>
      <c r="M18" s="1450"/>
      <c r="N18" s="1451"/>
      <c r="P18" s="447">
        <v>0</v>
      </c>
      <c r="Q18" s="476">
        <v>0</v>
      </c>
      <c r="R18" s="476">
        <v>8</v>
      </c>
      <c r="S18" s="447">
        <v>0</v>
      </c>
      <c r="T18" s="658">
        <v>3.1219019459151633</v>
      </c>
    </row>
    <row r="19" spans="1:20" x14ac:dyDescent="0.2">
      <c r="A19" s="452">
        <v>0</v>
      </c>
      <c r="B19" s="473">
        <v>0</v>
      </c>
      <c r="C19" s="473">
        <v>0</v>
      </c>
      <c r="D19" s="452">
        <v>4</v>
      </c>
      <c r="E19" s="473">
        <v>0</v>
      </c>
      <c r="F19" s="474">
        <v>0</v>
      </c>
      <c r="G19" s="657">
        <v>0.1100000000000001</v>
      </c>
      <c r="I19" s="524" t="s">
        <v>259</v>
      </c>
      <c r="J19" s="7" t="s">
        <v>30</v>
      </c>
      <c r="K19" s="454" t="s">
        <v>31</v>
      </c>
      <c r="L19" s="464" t="s">
        <v>32</v>
      </c>
      <c r="M19" s="122" t="s">
        <v>3</v>
      </c>
      <c r="N19" s="121" t="s">
        <v>33</v>
      </c>
      <c r="P19" s="451">
        <v>1.5543122344752192E-15</v>
      </c>
      <c r="Q19" s="641">
        <v>0</v>
      </c>
      <c r="R19" s="641">
        <v>0</v>
      </c>
      <c r="S19" s="451">
        <v>6.6666666666666705</v>
      </c>
      <c r="T19" s="656">
        <v>2.5153333333333361</v>
      </c>
    </row>
    <row r="20" spans="1:20" ht="18" x14ac:dyDescent="0.2">
      <c r="A20" s="448">
        <v>1.5543122344752192E-15</v>
      </c>
      <c r="B20" s="94">
        <v>0</v>
      </c>
      <c r="C20" s="94">
        <v>0</v>
      </c>
      <c r="D20" s="448">
        <v>0</v>
      </c>
      <c r="E20" s="94">
        <v>6.6666666666666705</v>
      </c>
      <c r="F20" s="475">
        <v>-1.3333333333333348</v>
      </c>
      <c r="G20" s="655">
        <v>2.5153333333333361</v>
      </c>
      <c r="I20" s="515">
        <v>1</v>
      </c>
      <c r="J20" s="653">
        <f>T17*J29</f>
        <v>0.64121737415539304</v>
      </c>
      <c r="K20" s="475">
        <v>1</v>
      </c>
      <c r="L20" s="652">
        <f>J20/K20</f>
        <v>0.64121737415539304</v>
      </c>
      <c r="M20" s="514">
        <f>L20/L$24</f>
        <v>10.975496180195437</v>
      </c>
      <c r="N20" s="651">
        <f>FDIST(M20,K20,K$8)</f>
        <v>1.6145773109720808E-2</v>
      </c>
      <c r="O20" s="1" t="str">
        <f t="shared" ref="O20:O25" si="11">IF(N20&lt;=0.05,"*","")</f>
        <v>*</v>
      </c>
      <c r="P20" s="1371" t="s">
        <v>264</v>
      </c>
      <c r="Q20" s="1372"/>
      <c r="R20" s="1372"/>
      <c r="S20" s="1373"/>
    </row>
    <row r="21" spans="1:20" x14ac:dyDescent="0.2">
      <c r="A21" s="95">
        <v>1.5543122344752192E-15</v>
      </c>
      <c r="B21" s="96">
        <v>0</v>
      </c>
      <c r="C21" s="96">
        <v>0</v>
      </c>
      <c r="D21" s="95">
        <v>0</v>
      </c>
      <c r="E21" s="96">
        <v>-1.3333333333333348</v>
      </c>
      <c r="F21" s="97">
        <v>6.6666666666666705</v>
      </c>
      <c r="G21" s="654">
        <v>-0.18466666666666443</v>
      </c>
      <c r="I21" s="515">
        <v>2</v>
      </c>
      <c r="J21" s="653">
        <f>T18*J30</f>
        <v>1.2182839699886103</v>
      </c>
      <c r="K21" s="475">
        <v>1</v>
      </c>
      <c r="L21" s="652">
        <f>J21/K21</f>
        <v>1.2182839699886103</v>
      </c>
      <c r="M21" s="514">
        <f>L21/L$24</f>
        <v>20.852945659209357</v>
      </c>
      <c r="N21" s="651">
        <f>FDIST(M21,K21,K$8)</f>
        <v>3.8245684419122984E-3</v>
      </c>
      <c r="O21" s="1" t="str">
        <f t="shared" si="11"/>
        <v>*</v>
      </c>
      <c r="P21" s="451">
        <f t="array" ref="P21:S24">MINVERSE(MMULT(TRANSPOSE(X_sig),X_sig))</f>
        <v>8.3333333333333329E-2</v>
      </c>
      <c r="Q21" s="641">
        <v>0</v>
      </c>
      <c r="R21" s="641">
        <v>0</v>
      </c>
      <c r="S21" s="451">
        <v>-1.9428902930940229E-17</v>
      </c>
    </row>
    <row r="22" spans="1:20" ht="18" x14ac:dyDescent="0.2">
      <c r="A22" s="1357" t="s">
        <v>263</v>
      </c>
      <c r="B22" s="1346"/>
      <c r="C22" s="1346"/>
      <c r="D22" s="1346"/>
      <c r="E22" s="1346"/>
      <c r="F22" s="1360"/>
      <c r="I22" s="631">
        <v>11</v>
      </c>
      <c r="J22" s="650">
        <f>T19*J31</f>
        <v>0.94903526666666749</v>
      </c>
      <c r="K22" s="474">
        <v>1</v>
      </c>
      <c r="L22" s="649">
        <f>J22/K22</f>
        <v>0.94903526666666749</v>
      </c>
      <c r="M22" s="648">
        <f>L22/L$24</f>
        <v>16.244308660367825</v>
      </c>
      <c r="N22" s="647">
        <f>FDIST(M22,K22,K$8)</f>
        <v>6.8769838141400676E-3</v>
      </c>
      <c r="O22" s="1" t="str">
        <f t="shared" si="11"/>
        <v>*</v>
      </c>
      <c r="P22" s="447">
        <v>0</v>
      </c>
      <c r="Q22" s="476">
        <v>0.125</v>
      </c>
      <c r="R22" s="476">
        <v>0</v>
      </c>
      <c r="S22" s="447">
        <v>0</v>
      </c>
    </row>
    <row r="23" spans="1:20" x14ac:dyDescent="0.2">
      <c r="A23" s="452">
        <f t="array" ref="A23:F28">MINVERSE(MMULT(TRANSPOSE(X),X))</f>
        <v>8.3333333333333329E-2</v>
      </c>
      <c r="B23" s="473">
        <v>0</v>
      </c>
      <c r="C23" s="473">
        <v>0</v>
      </c>
      <c r="D23" s="452">
        <v>0</v>
      </c>
      <c r="E23" s="473">
        <v>-2.4286128663675287E-17</v>
      </c>
      <c r="F23" s="474">
        <v>-2.4286128663675287E-17</v>
      </c>
      <c r="H23" s="646"/>
      <c r="I23" s="518" t="s">
        <v>5</v>
      </c>
      <c r="J23" s="645">
        <f t="array" ref="J23">SUMSQ(T3:T14)-COUNT(y)*AVERAGE(y)^2</f>
        <v>2.8085366108106697</v>
      </c>
      <c r="K23" s="41">
        <v>3</v>
      </c>
      <c r="L23" s="644">
        <f>J23/K23</f>
        <v>0.93617887027022328</v>
      </c>
      <c r="M23" s="523">
        <f>L23/L$24</f>
        <v>16.024250166590868</v>
      </c>
      <c r="N23" s="642">
        <f>FDIST(M23,K23,K$8)</f>
        <v>2.8613380396927098E-3</v>
      </c>
      <c r="O23" s="1" t="str">
        <f t="shared" si="11"/>
        <v>*</v>
      </c>
      <c r="P23" s="447">
        <v>0</v>
      </c>
      <c r="Q23" s="476">
        <v>0</v>
      </c>
      <c r="R23" s="476">
        <v>0.125</v>
      </c>
      <c r="S23" s="447">
        <v>0</v>
      </c>
    </row>
    <row r="24" spans="1:20" x14ac:dyDescent="0.2">
      <c r="A24" s="448">
        <v>0</v>
      </c>
      <c r="B24" s="94">
        <v>0.125</v>
      </c>
      <c r="C24" s="94">
        <v>0</v>
      </c>
      <c r="D24" s="448">
        <v>0</v>
      </c>
      <c r="E24" s="94">
        <v>0</v>
      </c>
      <c r="F24" s="475">
        <v>0</v>
      </c>
      <c r="I24" s="513" t="s">
        <v>6</v>
      </c>
      <c r="J24" s="639">
        <f>SUMSQ(y)-SUMSQ(T3:T14)</f>
        <v>0.46738105585599143</v>
      </c>
      <c r="K24" s="97">
        <f>COUNT(y)-COLUMNS(X_sig)</f>
        <v>8</v>
      </c>
      <c r="L24" s="643">
        <f>J24/K24</f>
        <v>5.8422631981998929E-2</v>
      </c>
      <c r="M24" s="129" t="s">
        <v>262</v>
      </c>
      <c r="N24" s="642">
        <f>SQRT(L24)</f>
        <v>0.24170774084004618</v>
      </c>
      <c r="O24" s="1" t="str">
        <f t="shared" si="11"/>
        <v/>
      </c>
      <c r="P24" s="451">
        <v>-1.9428902930940229E-17</v>
      </c>
      <c r="Q24" s="641">
        <v>0</v>
      </c>
      <c r="R24" s="641">
        <v>0</v>
      </c>
      <c r="S24" s="451">
        <v>0.14999999999999991</v>
      </c>
    </row>
    <row r="25" spans="1:20" ht="18" x14ac:dyDescent="0.2">
      <c r="A25" s="448">
        <v>0</v>
      </c>
      <c r="B25" s="94">
        <v>0</v>
      </c>
      <c r="C25" s="94">
        <v>0.125</v>
      </c>
      <c r="D25" s="448">
        <v>0</v>
      </c>
      <c r="E25" s="94">
        <v>0</v>
      </c>
      <c r="F25" s="475">
        <v>0</v>
      </c>
      <c r="G25" s="36"/>
      <c r="H25" s="36"/>
      <c r="I25" s="513" t="s">
        <v>7</v>
      </c>
      <c r="J25" s="639">
        <f>SUMSQ(y)-COUNT(y)*AVERAGE(y)^2</f>
        <v>3.2759176666666612</v>
      </c>
      <c r="K25" s="97">
        <f>COUNT(y)-1</f>
        <v>11</v>
      </c>
      <c r="L25" s="96"/>
      <c r="M25" s="127" t="s">
        <v>261</v>
      </c>
      <c r="N25" s="638">
        <f>J23/J25</f>
        <v>0.85732820436492685</v>
      </c>
      <c r="O25" s="1" t="str">
        <f t="shared" si="11"/>
        <v/>
      </c>
    </row>
    <row r="26" spans="1:20" x14ac:dyDescent="0.2">
      <c r="A26" s="452">
        <v>0</v>
      </c>
      <c r="B26" s="473">
        <v>0</v>
      </c>
      <c r="C26" s="473">
        <v>0</v>
      </c>
      <c r="D26" s="452">
        <v>0.25</v>
      </c>
      <c r="E26" s="473">
        <v>0</v>
      </c>
      <c r="F26" s="474">
        <v>0</v>
      </c>
      <c r="G26" s="36"/>
      <c r="H26" s="36"/>
      <c r="I26" s="1369" t="s">
        <v>260</v>
      </c>
      <c r="J26" s="1450"/>
      <c r="K26" s="1450"/>
      <c r="L26" s="1450"/>
      <c r="M26" s="1450"/>
      <c r="N26" s="1451"/>
    </row>
    <row r="27" spans="1:20" x14ac:dyDescent="0.2">
      <c r="A27" s="448">
        <v>-2.4286128663675287E-17</v>
      </c>
      <c r="B27" s="94">
        <v>0</v>
      </c>
      <c r="C27" s="94">
        <v>0</v>
      </c>
      <c r="D27" s="448">
        <v>0</v>
      </c>
      <c r="E27" s="94">
        <v>0.15624999999999992</v>
      </c>
      <c r="F27" s="475">
        <v>3.125E-2</v>
      </c>
      <c r="G27" s="36"/>
      <c r="H27" s="36"/>
      <c r="I27" s="130" t="s">
        <v>259</v>
      </c>
      <c r="J27" s="634" t="s">
        <v>39</v>
      </c>
      <c r="K27" s="633" t="s">
        <v>183</v>
      </c>
      <c r="M27" s="72" t="s">
        <v>43</v>
      </c>
      <c r="N27" s="73" t="s">
        <v>33</v>
      </c>
    </row>
    <row r="28" spans="1:20" x14ac:dyDescent="0.2">
      <c r="A28" s="95">
        <v>-2.428612866367529E-17</v>
      </c>
      <c r="B28" s="96">
        <v>0</v>
      </c>
      <c r="C28" s="96">
        <v>0</v>
      </c>
      <c r="D28" s="95">
        <v>0</v>
      </c>
      <c r="E28" s="96">
        <v>3.125E-2</v>
      </c>
      <c r="F28" s="97">
        <v>0.15624999999999992</v>
      </c>
      <c r="G28" s="36"/>
      <c r="H28" s="36"/>
      <c r="I28" s="631">
        <v>0</v>
      </c>
      <c r="J28" s="630">
        <f t="array" ref="J28:J31">MMULT(P21:S24,T16:T19)</f>
        <v>1.2018333333333335</v>
      </c>
      <c r="K28" s="629" t="e">
        <f t="array" aca="1" ref="K28:K31" ca="1">SQRT([5]!DIAG(P21:S24)*L24)</f>
        <v>#NAME?</v>
      </c>
      <c r="M28" s="630" t="e">
        <f ca="1">J28/K28</f>
        <v>#NAME?</v>
      </c>
      <c r="N28" s="629" t="e">
        <f ca="1">TDIST(ABS(M28),K$24,2)</f>
        <v>#NAME?</v>
      </c>
      <c r="O28" s="1" t="e">
        <f ca="1">IF(N28&lt;=0.05,"*","")</f>
        <v>#NAME?</v>
      </c>
    </row>
    <row r="29" spans="1:20" x14ac:dyDescent="0.2">
      <c r="G29" s="36"/>
      <c r="H29" s="36"/>
      <c r="I29" s="515">
        <v>1</v>
      </c>
      <c r="J29" s="507">
        <v>-0.28311158889989674</v>
      </c>
      <c r="K29" s="628" t="e">
        <f ca="1"/>
        <v>#NAME?</v>
      </c>
      <c r="M29" s="507" t="e">
        <f ca="1">J29/K29</f>
        <v>#NAME?</v>
      </c>
      <c r="N29" s="628" t="e">
        <f ca="1">TDIST(ABS(M29),K$24,2)</f>
        <v>#NAME?</v>
      </c>
      <c r="O29" s="1" t="e">
        <f ca="1">IF(N29&lt;=0.05,"*","")</f>
        <v>#NAME?</v>
      </c>
    </row>
    <row r="30" spans="1:20" x14ac:dyDescent="0.2">
      <c r="G30" s="36"/>
      <c r="H30" s="36"/>
      <c r="I30" s="515">
        <v>2</v>
      </c>
      <c r="J30" s="507">
        <v>0.39023774323939542</v>
      </c>
      <c r="K30" s="628" t="e">
        <f ca="1"/>
        <v>#NAME?</v>
      </c>
      <c r="M30" s="507" t="e">
        <f ca="1">J30/K30</f>
        <v>#NAME?</v>
      </c>
      <c r="N30" s="628" t="e">
        <f ca="1">TDIST(ABS(M30),K$24,2)</f>
        <v>#NAME?</v>
      </c>
      <c r="O30" s="1" t="e">
        <f ca="1">IF(N30&lt;=0.05,"*","")</f>
        <v>#NAME?</v>
      </c>
    </row>
    <row r="31" spans="1:20" x14ac:dyDescent="0.2">
      <c r="I31" s="513">
        <v>11</v>
      </c>
      <c r="J31" s="509">
        <v>0.37729999999999991</v>
      </c>
      <c r="K31" s="627" t="e">
        <f ca="1"/>
        <v>#NAME?</v>
      </c>
      <c r="M31" s="509" t="e">
        <f ca="1">J31/K31</f>
        <v>#NAME?</v>
      </c>
      <c r="N31" s="627" t="e">
        <f ca="1">TDIST(ABS(M31),K$24,2)</f>
        <v>#NAME?</v>
      </c>
      <c r="O31" s="1" t="e">
        <f ca="1">IF(N31&lt;=0.05,"*","")</f>
        <v>#NAME?</v>
      </c>
    </row>
    <row r="32" spans="1:20" x14ac:dyDescent="0.2">
      <c r="A32"/>
      <c r="B32"/>
      <c r="C32"/>
      <c r="D32"/>
      <c r="E32"/>
      <c r="F32"/>
      <c r="G32"/>
    </row>
    <row r="33" spans="1:7" x14ac:dyDescent="0.2">
      <c r="A33"/>
      <c r="B33"/>
      <c r="C33"/>
      <c r="D33"/>
      <c r="E33"/>
      <c r="F33"/>
      <c r="G33"/>
    </row>
    <row r="34" spans="1:7" x14ac:dyDescent="0.2">
      <c r="A34"/>
      <c r="B34"/>
      <c r="C34"/>
      <c r="D34"/>
      <c r="E34"/>
      <c r="F34"/>
      <c r="G34"/>
    </row>
    <row r="35" spans="1:7" x14ac:dyDescent="0.2">
      <c r="A35"/>
      <c r="B35"/>
      <c r="C35"/>
      <c r="D35"/>
      <c r="E35"/>
      <c r="F35"/>
      <c r="G35"/>
    </row>
    <row r="36" spans="1:7" x14ac:dyDescent="0.2">
      <c r="A36"/>
      <c r="B36"/>
      <c r="C36"/>
      <c r="D36"/>
      <c r="E36"/>
      <c r="F36"/>
      <c r="G36"/>
    </row>
  </sheetData>
  <mergeCells count="13">
    <mergeCell ref="P1:S1"/>
    <mergeCell ref="P15:S15"/>
    <mergeCell ref="P20:S20"/>
    <mergeCell ref="T1:T2"/>
    <mergeCell ref="H1:H2"/>
    <mergeCell ref="I1:N1"/>
    <mergeCell ref="I10:N10"/>
    <mergeCell ref="I26:N26"/>
    <mergeCell ref="I18:N18"/>
    <mergeCell ref="A22:F22"/>
    <mergeCell ref="G1:G2"/>
    <mergeCell ref="A1:F1"/>
    <mergeCell ref="A15:F15"/>
  </mergeCells>
  <conditionalFormatting sqref="A22:F28">
    <cfRule type="cellIs" dxfId="35" priority="2" operator="between">
      <formula>-0.0001</formula>
      <formula>0.0001</formula>
    </cfRule>
  </conditionalFormatting>
  <conditionalFormatting sqref="A16:G21 P21:S24 J28:K31">
    <cfRule type="cellIs" dxfId="34" priority="4" operator="between">
      <formula>-0.0001</formula>
      <formula>0.0001</formula>
    </cfRule>
  </conditionalFormatting>
  <conditionalFormatting sqref="J12:K17">
    <cfRule type="cellIs" dxfId="33" priority="3" operator="between">
      <formula>-0.0001</formula>
      <formula>0.0001</formula>
    </cfRule>
  </conditionalFormatting>
  <conditionalFormatting sqref="P16:T19">
    <cfRule type="cellIs" dxfId="32" priority="1" operator="between">
      <formula>-0.0001</formula>
      <formula>0.0001</formula>
    </cfRule>
  </conditionalFormatting>
  <pageMargins left="0.7" right="0.7" top="0.75" bottom="0.75" header="0.3" footer="0.3"/>
  <pageSetup orientation="portrait" horizontalDpi="0" verticalDpi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7FAC8-137C-4006-A5F1-812B86734560}">
  <dimension ref="A1:AC61"/>
  <sheetViews>
    <sheetView zoomScaleNormal="100" workbookViewId="0">
      <selection activeCell="A29" sqref="A29"/>
    </sheetView>
  </sheetViews>
  <sheetFormatPr baseColWidth="10" defaultColWidth="5.83203125" defaultRowHeight="16" x14ac:dyDescent="0.2"/>
  <cols>
    <col min="1" max="12" width="5.83203125" style="1"/>
    <col min="13" max="13" width="5.83203125" style="511"/>
    <col min="14" max="18" width="6.83203125" style="1" customWidth="1"/>
    <col min="23" max="26" width="5.83203125" style="1"/>
    <col min="27" max="27" width="6.83203125" style="1" customWidth="1"/>
    <col min="28" max="16384" width="5.83203125" style="1"/>
  </cols>
  <sheetData>
    <row r="1" spans="1:29" x14ac:dyDescent="0.2">
      <c r="A1" s="1357" t="s">
        <v>14</v>
      </c>
      <c r="B1" s="1346"/>
      <c r="C1" s="1346"/>
      <c r="D1" s="1346"/>
      <c r="E1" s="1346"/>
      <c r="F1" s="1346"/>
      <c r="G1" s="1346"/>
      <c r="H1" s="1347"/>
      <c r="I1" s="1347"/>
      <c r="J1" s="1348"/>
      <c r="M1" s="1369" t="s">
        <v>27</v>
      </c>
      <c r="N1" s="1457"/>
      <c r="O1" s="1457"/>
      <c r="P1" s="1457"/>
      <c r="Q1" s="1457"/>
      <c r="R1" s="1458"/>
    </row>
    <row r="2" spans="1:29" x14ac:dyDescent="0.2">
      <c r="A2" s="524">
        <v>0</v>
      </c>
      <c r="B2" s="464">
        <v>1</v>
      </c>
      <c r="C2" s="464">
        <v>2</v>
      </c>
      <c r="D2" s="454">
        <v>3</v>
      </c>
      <c r="E2" s="7">
        <v>12</v>
      </c>
      <c r="F2" s="464">
        <v>13</v>
      </c>
      <c r="G2" s="454">
        <v>23</v>
      </c>
      <c r="H2" s="7">
        <v>11</v>
      </c>
      <c r="I2" s="464">
        <v>22</v>
      </c>
      <c r="J2" s="454">
        <v>33</v>
      </c>
      <c r="K2" s="524" t="s">
        <v>219</v>
      </c>
      <c r="L2" s="626" t="s">
        <v>258</v>
      </c>
      <c r="M2" s="524" t="s">
        <v>47</v>
      </c>
      <c r="N2" s="71" t="s">
        <v>30</v>
      </c>
      <c r="O2" s="71" t="s">
        <v>31</v>
      </c>
      <c r="P2" s="70" t="s">
        <v>32</v>
      </c>
      <c r="Q2" s="69" t="s">
        <v>3</v>
      </c>
      <c r="R2" s="70" t="s">
        <v>253</v>
      </c>
      <c r="Y2"/>
      <c r="Z2"/>
      <c r="AA2"/>
      <c r="AB2"/>
      <c r="AC2"/>
    </row>
    <row r="3" spans="1:29" x14ac:dyDescent="0.2">
      <c r="A3" s="39">
        <v>1</v>
      </c>
      <c r="B3" s="40">
        <v>1</v>
      </c>
      <c r="C3" s="40">
        <v>1</v>
      </c>
      <c r="D3" s="40">
        <v>1</v>
      </c>
      <c r="E3" s="87">
        <f t="shared" ref="E3:E17" si="0">B3*C3</f>
        <v>1</v>
      </c>
      <c r="F3" s="40">
        <f t="shared" ref="F3:F17" si="1">B3*D3</f>
        <v>1</v>
      </c>
      <c r="G3" s="41">
        <f t="shared" ref="G3:G17" si="2">C3*D3</f>
        <v>1</v>
      </c>
      <c r="H3" s="40">
        <f t="shared" ref="H3:H17" si="3">B3*B3-14/15</f>
        <v>6.6666666666666652E-2</v>
      </c>
      <c r="I3" s="40">
        <f t="shared" ref="I3:I17" si="4">C3*C3-14/15</f>
        <v>6.6666666666666652E-2</v>
      </c>
      <c r="J3" s="41">
        <f t="shared" ref="J3:J17" si="5">D3*D3-14/15</f>
        <v>6.6666666666666652E-2</v>
      </c>
      <c r="K3" s="120">
        <v>77.599999999999994</v>
      </c>
      <c r="L3" s="120">
        <f t="array" ref="L3:L17">MMULT(X,a)</f>
        <v>74.599999999999994</v>
      </c>
      <c r="M3" s="78" t="s">
        <v>5</v>
      </c>
      <c r="N3" s="81">
        <f>SUMSQ(y_hat)-COUNT(y)*AVERAGE(y)^2</f>
        <v>2583.3733333333294</v>
      </c>
      <c r="O3" s="88">
        <f>COLUMNS(X)-1</f>
        <v>9</v>
      </c>
      <c r="P3" s="80">
        <f>N3/O3</f>
        <v>287.04148148148101</v>
      </c>
      <c r="Q3" s="81">
        <f>P3/P4</f>
        <v>23.223420831833941</v>
      </c>
      <c r="R3" s="80">
        <f>FDIST(Q3,O3,O4)</f>
        <v>1.4652650261496184E-3</v>
      </c>
      <c r="Y3"/>
      <c r="Z3"/>
      <c r="AA3"/>
      <c r="AB3"/>
      <c r="AC3"/>
    </row>
    <row r="4" spans="1:29" x14ac:dyDescent="0.2">
      <c r="A4" s="448">
        <v>1</v>
      </c>
      <c r="B4" s="94">
        <v>1</v>
      </c>
      <c r="C4" s="94">
        <v>1</v>
      </c>
      <c r="D4" s="94">
        <v>-1</v>
      </c>
      <c r="E4" s="89">
        <f t="shared" si="0"/>
        <v>1</v>
      </c>
      <c r="F4" s="94">
        <f t="shared" si="1"/>
        <v>-1</v>
      </c>
      <c r="G4" s="475">
        <f t="shared" si="2"/>
        <v>-1</v>
      </c>
      <c r="H4" s="94">
        <f t="shared" si="3"/>
        <v>6.6666666666666652E-2</v>
      </c>
      <c r="I4" s="94">
        <f t="shared" si="4"/>
        <v>6.6666666666666652E-2</v>
      </c>
      <c r="J4" s="475">
        <f t="shared" si="5"/>
        <v>6.6666666666666652E-2</v>
      </c>
      <c r="K4" s="622">
        <v>74.900000000000006</v>
      </c>
      <c r="L4" s="622">
        <v>76.828571428571422</v>
      </c>
      <c r="M4" s="78" t="s">
        <v>6</v>
      </c>
      <c r="N4" s="455">
        <f>SUMSQ(y)-SUMSQ(y_hat)</f>
        <v>61.80000000000291</v>
      </c>
      <c r="O4" s="1">
        <f>ROWS(X)-COLUMNS(X)</f>
        <v>5</v>
      </c>
      <c r="P4" s="90">
        <f>N4/O4</f>
        <v>12.360000000000582</v>
      </c>
      <c r="Q4" s="87" t="s">
        <v>191</v>
      </c>
      <c r="R4" s="80">
        <f>SQRT(P4)</f>
        <v>3.515679166249472</v>
      </c>
      <c r="Y4"/>
      <c r="Z4"/>
      <c r="AA4"/>
      <c r="AB4"/>
      <c r="AC4"/>
    </row>
    <row r="5" spans="1:29" ht="18" x14ac:dyDescent="0.2">
      <c r="A5" s="448">
        <v>1</v>
      </c>
      <c r="B5" s="94">
        <v>1</v>
      </c>
      <c r="C5" s="94">
        <v>-1</v>
      </c>
      <c r="D5" s="94">
        <v>1</v>
      </c>
      <c r="E5" s="89">
        <f t="shared" si="0"/>
        <v>-1</v>
      </c>
      <c r="F5" s="94">
        <f t="shared" si="1"/>
        <v>1</v>
      </c>
      <c r="G5" s="475">
        <f t="shared" si="2"/>
        <v>-1</v>
      </c>
      <c r="H5" s="94">
        <f t="shared" si="3"/>
        <v>6.6666666666666652E-2</v>
      </c>
      <c r="I5" s="94">
        <f t="shared" si="4"/>
        <v>6.6666666666666652E-2</v>
      </c>
      <c r="J5" s="475">
        <f t="shared" si="5"/>
        <v>6.6666666666666652E-2</v>
      </c>
      <c r="K5" s="622">
        <v>51.5</v>
      </c>
      <c r="L5" s="622">
        <v>52.314285714285717</v>
      </c>
      <c r="M5" s="91" t="s">
        <v>7</v>
      </c>
      <c r="N5" s="106">
        <f>SUMSQ(y)-COUNT(y)*AVERAGE(y)^2</f>
        <v>2645.1733333333323</v>
      </c>
      <c r="O5" s="76">
        <f>COUNT(y)-1</f>
        <v>14</v>
      </c>
      <c r="P5" s="77"/>
      <c r="Q5" s="75" t="s">
        <v>257</v>
      </c>
      <c r="R5" s="77">
        <f>N3/N5</f>
        <v>0.97663669173538614</v>
      </c>
      <c r="Y5"/>
      <c r="Z5"/>
      <c r="AA5"/>
      <c r="AB5"/>
      <c r="AC5"/>
    </row>
    <row r="6" spans="1:29" x14ac:dyDescent="0.2">
      <c r="A6" s="448">
        <v>1</v>
      </c>
      <c r="B6" s="94">
        <v>1</v>
      </c>
      <c r="C6" s="94">
        <v>-1</v>
      </c>
      <c r="D6" s="94">
        <v>-1</v>
      </c>
      <c r="E6" s="89">
        <f t="shared" si="0"/>
        <v>-1</v>
      </c>
      <c r="F6" s="94">
        <f t="shared" si="1"/>
        <v>-1</v>
      </c>
      <c r="G6" s="475">
        <f t="shared" si="2"/>
        <v>1</v>
      </c>
      <c r="H6" s="94">
        <f t="shared" si="3"/>
        <v>6.6666666666666652E-2</v>
      </c>
      <c r="I6" s="94">
        <f t="shared" si="4"/>
        <v>6.6666666666666652E-2</v>
      </c>
      <c r="J6" s="475">
        <f t="shared" si="5"/>
        <v>6.6666666666666652E-2</v>
      </c>
      <c r="K6" s="622">
        <v>53</v>
      </c>
      <c r="L6" s="622">
        <v>54.542857142857144</v>
      </c>
      <c r="Y6"/>
      <c r="Z6"/>
      <c r="AA6"/>
      <c r="AB6"/>
      <c r="AC6"/>
    </row>
    <row r="7" spans="1:29" x14ac:dyDescent="0.2">
      <c r="A7" s="448">
        <v>1</v>
      </c>
      <c r="B7" s="94">
        <v>-1</v>
      </c>
      <c r="C7" s="94">
        <v>1</v>
      </c>
      <c r="D7" s="94">
        <v>1</v>
      </c>
      <c r="E7" s="89">
        <f t="shared" si="0"/>
        <v>-1</v>
      </c>
      <c r="F7" s="94">
        <f t="shared" si="1"/>
        <v>-1</v>
      </c>
      <c r="G7" s="475">
        <f t="shared" si="2"/>
        <v>1</v>
      </c>
      <c r="H7" s="94">
        <f t="shared" si="3"/>
        <v>6.6666666666666652E-2</v>
      </c>
      <c r="I7" s="94">
        <f t="shared" si="4"/>
        <v>6.6666666666666652E-2</v>
      </c>
      <c r="J7" s="475">
        <f t="shared" si="5"/>
        <v>6.6666666666666652E-2</v>
      </c>
      <c r="K7" s="622">
        <v>42</v>
      </c>
      <c r="L7" s="622">
        <v>40.457142857142856</v>
      </c>
      <c r="M7" s="524" t="s">
        <v>47</v>
      </c>
      <c r="N7" s="524" t="s">
        <v>39</v>
      </c>
      <c r="O7" s="69" t="s">
        <v>44</v>
      </c>
      <c r="P7" s="516" t="s">
        <v>43</v>
      </c>
      <c r="Q7" s="73" t="s">
        <v>33</v>
      </c>
      <c r="Y7"/>
      <c r="Z7"/>
      <c r="AA7"/>
      <c r="AB7"/>
      <c r="AC7"/>
    </row>
    <row r="8" spans="1:29" x14ac:dyDescent="0.2">
      <c r="A8" s="448">
        <v>1</v>
      </c>
      <c r="B8" s="94">
        <v>-1</v>
      </c>
      <c r="C8" s="94">
        <v>1</v>
      </c>
      <c r="D8" s="94">
        <v>-1</v>
      </c>
      <c r="E8" s="89">
        <f t="shared" si="0"/>
        <v>-1</v>
      </c>
      <c r="F8" s="94">
        <f t="shared" si="1"/>
        <v>1</v>
      </c>
      <c r="G8" s="475">
        <f t="shared" si="2"/>
        <v>-1</v>
      </c>
      <c r="H8" s="94">
        <f t="shared" si="3"/>
        <v>6.6666666666666652E-2</v>
      </c>
      <c r="I8" s="94">
        <f t="shared" si="4"/>
        <v>6.6666666666666652E-2</v>
      </c>
      <c r="J8" s="475">
        <f t="shared" si="5"/>
        <v>6.6666666666666652E-2</v>
      </c>
      <c r="K8" s="622">
        <v>47.5</v>
      </c>
      <c r="L8" s="622">
        <v>46.685714285714283</v>
      </c>
      <c r="M8" s="524">
        <v>0</v>
      </c>
      <c r="N8" s="625">
        <f t="array" ref="N8:N17">MMULT(INV_X,XTy)</f>
        <v>53.266666666666666</v>
      </c>
      <c r="O8" s="456" t="e">
        <f t="array" aca="1" ref="O8:O17" ca="1">SQRT([5]!DIAG(INV_X)*P4)</f>
        <v>#NAME?</v>
      </c>
      <c r="P8" s="457" t="e">
        <f t="shared" ref="P8:P17" ca="1" si="6">N8/O8</f>
        <v>#NAME?</v>
      </c>
      <c r="Q8" s="93" t="e">
        <f t="shared" ref="Q8:Q17" ca="1" si="7">TDIST(ABS(P8),O$4,2)</f>
        <v>#NAME?</v>
      </c>
      <c r="R8" s="1" t="e">
        <f t="shared" ref="R8:R17" ca="1" si="8">IF(Q8&lt;=0.05,"*","")</f>
        <v>#NAME?</v>
      </c>
      <c r="Y8"/>
      <c r="Z8"/>
      <c r="AA8"/>
      <c r="AB8"/>
      <c r="AC8"/>
    </row>
    <row r="9" spans="1:29" x14ac:dyDescent="0.2">
      <c r="A9" s="448">
        <v>1</v>
      </c>
      <c r="B9" s="94">
        <v>-1</v>
      </c>
      <c r="C9" s="94">
        <v>-1</v>
      </c>
      <c r="D9" s="94">
        <v>1</v>
      </c>
      <c r="E9" s="89">
        <f t="shared" si="0"/>
        <v>1</v>
      </c>
      <c r="F9" s="94">
        <f t="shared" si="1"/>
        <v>-1</v>
      </c>
      <c r="G9" s="475">
        <f t="shared" si="2"/>
        <v>-1</v>
      </c>
      <c r="H9" s="94">
        <f t="shared" si="3"/>
        <v>6.6666666666666652E-2</v>
      </c>
      <c r="I9" s="94">
        <f t="shared" si="4"/>
        <v>6.6666666666666652E-2</v>
      </c>
      <c r="J9" s="475">
        <f t="shared" si="5"/>
        <v>6.6666666666666652E-2</v>
      </c>
      <c r="K9" s="622">
        <v>40.099999999999994</v>
      </c>
      <c r="L9" s="622">
        <v>38.171428571428578</v>
      </c>
      <c r="M9" s="620">
        <v>1</v>
      </c>
      <c r="N9" s="467">
        <v>11.071428571428571</v>
      </c>
      <c r="O9" s="455" t="e">
        <f ca="1"/>
        <v>#NAME?</v>
      </c>
      <c r="P9" s="1" t="e">
        <f t="shared" ca="1" si="6"/>
        <v>#NAME?</v>
      </c>
      <c r="Q9" s="90" t="e">
        <f t="shared" ca="1" si="7"/>
        <v>#NAME?</v>
      </c>
      <c r="R9" s="1" t="e">
        <f t="shared" ca="1" si="8"/>
        <v>#NAME?</v>
      </c>
      <c r="Y9"/>
      <c r="Z9"/>
      <c r="AA9"/>
      <c r="AB9"/>
      <c r="AC9"/>
    </row>
    <row r="10" spans="1:29" x14ac:dyDescent="0.2">
      <c r="A10" s="448">
        <v>1</v>
      </c>
      <c r="B10" s="94">
        <v>-1</v>
      </c>
      <c r="C10" s="94">
        <v>-1</v>
      </c>
      <c r="D10" s="94">
        <v>-1</v>
      </c>
      <c r="E10" s="89">
        <f t="shared" si="0"/>
        <v>1</v>
      </c>
      <c r="F10" s="94">
        <f t="shared" si="1"/>
        <v>1</v>
      </c>
      <c r="G10" s="475">
        <f t="shared" si="2"/>
        <v>1</v>
      </c>
      <c r="H10" s="94">
        <f t="shared" si="3"/>
        <v>6.6666666666666652E-2</v>
      </c>
      <c r="I10" s="94">
        <f t="shared" si="4"/>
        <v>6.6666666666666652E-2</v>
      </c>
      <c r="J10" s="475">
        <f t="shared" si="5"/>
        <v>6.6666666666666652E-2</v>
      </c>
      <c r="K10" s="622">
        <v>41.400000000000006</v>
      </c>
      <c r="L10" s="622">
        <v>44.400000000000006</v>
      </c>
      <c r="M10" s="620">
        <v>2</v>
      </c>
      <c r="N10" s="468">
        <v>6.1428571428571415</v>
      </c>
      <c r="O10" s="455" t="e">
        <f ca="1"/>
        <v>#NAME?</v>
      </c>
      <c r="P10" s="1" t="e">
        <f t="shared" ca="1" si="6"/>
        <v>#NAME?</v>
      </c>
      <c r="Q10" s="90" t="e">
        <f t="shared" ca="1" si="7"/>
        <v>#NAME?</v>
      </c>
      <c r="R10" s="1" t="e">
        <f t="shared" ca="1" si="8"/>
        <v>#NAME?</v>
      </c>
      <c r="Y10"/>
      <c r="Z10"/>
      <c r="AA10"/>
      <c r="AB10"/>
      <c r="AC10"/>
    </row>
    <row r="11" spans="1:29" x14ac:dyDescent="0.2">
      <c r="A11" s="452">
        <v>1</v>
      </c>
      <c r="B11" s="473">
        <v>0</v>
      </c>
      <c r="C11" s="473">
        <v>0</v>
      </c>
      <c r="D11" s="473">
        <v>0</v>
      </c>
      <c r="E11" s="137">
        <f t="shared" si="0"/>
        <v>0</v>
      </c>
      <c r="F11" s="473">
        <f t="shared" si="1"/>
        <v>0</v>
      </c>
      <c r="G11" s="474">
        <f t="shared" si="2"/>
        <v>0</v>
      </c>
      <c r="H11" s="473">
        <f t="shared" si="3"/>
        <v>-0.93333333333333335</v>
      </c>
      <c r="I11" s="473">
        <f t="shared" si="4"/>
        <v>-0.93333333333333335</v>
      </c>
      <c r="J11" s="474">
        <f t="shared" si="5"/>
        <v>-0.93333333333333335</v>
      </c>
      <c r="K11" s="624">
        <v>50</v>
      </c>
      <c r="L11" s="624">
        <v>50.000000000000007</v>
      </c>
      <c r="M11" s="620">
        <v>3</v>
      </c>
      <c r="N11" s="468">
        <v>-2.1142857142857148</v>
      </c>
      <c r="O11" s="455" t="e">
        <f ca="1"/>
        <v>#NAME?</v>
      </c>
      <c r="P11" s="1" t="e">
        <f t="shared" ca="1" si="6"/>
        <v>#NAME?</v>
      </c>
      <c r="Q11" s="90" t="e">
        <f t="shared" ca="1" si="7"/>
        <v>#NAME?</v>
      </c>
      <c r="R11" s="1" t="e">
        <f t="shared" ca="1" si="8"/>
        <v>#NAME?</v>
      </c>
      <c r="Y11"/>
      <c r="Z11"/>
      <c r="AA11"/>
      <c r="AB11"/>
      <c r="AC11"/>
    </row>
    <row r="12" spans="1:29" x14ac:dyDescent="0.2">
      <c r="A12" s="448">
        <v>1</v>
      </c>
      <c r="B12" s="94">
        <f>SQRT(3)</f>
        <v>1.7320508075688772</v>
      </c>
      <c r="C12" s="94">
        <v>0</v>
      </c>
      <c r="D12" s="94">
        <v>0</v>
      </c>
      <c r="E12" s="89">
        <f t="shared" si="0"/>
        <v>0</v>
      </c>
      <c r="F12" s="94">
        <f t="shared" si="1"/>
        <v>0</v>
      </c>
      <c r="G12" s="475">
        <f t="shared" si="2"/>
        <v>0</v>
      </c>
      <c r="H12" s="94">
        <f t="shared" si="3"/>
        <v>2.0666666666666664</v>
      </c>
      <c r="I12" s="94">
        <f t="shared" si="4"/>
        <v>-0.93333333333333335</v>
      </c>
      <c r="J12" s="475">
        <f t="shared" si="5"/>
        <v>-0.93333333333333335</v>
      </c>
      <c r="K12" s="622">
        <v>77.41858428704208</v>
      </c>
      <c r="L12" s="622">
        <v>76.67627679808399</v>
      </c>
      <c r="M12" s="130">
        <v>12</v>
      </c>
      <c r="N12" s="467">
        <v>5</v>
      </c>
      <c r="O12" s="81" t="e">
        <f ca="1"/>
        <v>#NAME?</v>
      </c>
      <c r="P12" s="88" t="e">
        <f t="shared" ca="1" si="6"/>
        <v>#NAME?</v>
      </c>
      <c r="Q12" s="80" t="e">
        <f t="shared" ca="1" si="7"/>
        <v>#NAME?</v>
      </c>
      <c r="R12" s="1" t="e">
        <f t="shared" ca="1" si="8"/>
        <v>#NAME?</v>
      </c>
      <c r="Y12"/>
      <c r="Z12"/>
      <c r="AA12"/>
      <c r="AB12"/>
      <c r="AC12"/>
    </row>
    <row r="13" spans="1:29" x14ac:dyDescent="0.2">
      <c r="A13" s="448">
        <v>1</v>
      </c>
      <c r="B13" s="94">
        <f>-B12</f>
        <v>-1.7320508075688772</v>
      </c>
      <c r="C13" s="94">
        <v>0</v>
      </c>
      <c r="D13" s="94">
        <v>0</v>
      </c>
      <c r="E13" s="89">
        <f t="shared" si="0"/>
        <v>0</v>
      </c>
      <c r="F13" s="94">
        <f t="shared" si="1"/>
        <v>0</v>
      </c>
      <c r="G13" s="475">
        <f t="shared" si="2"/>
        <v>0</v>
      </c>
      <c r="H13" s="94">
        <f t="shared" si="3"/>
        <v>2.0666666666666664</v>
      </c>
      <c r="I13" s="94">
        <f t="shared" si="4"/>
        <v>-0.93333333333333335</v>
      </c>
      <c r="J13" s="475">
        <f t="shared" si="5"/>
        <v>-0.93333333333333335</v>
      </c>
      <c r="K13" s="622">
        <v>37.581415712957913</v>
      </c>
      <c r="L13" s="622">
        <v>38.323723201915996</v>
      </c>
      <c r="M13" s="623">
        <v>13</v>
      </c>
      <c r="N13" s="468">
        <v>1</v>
      </c>
      <c r="O13" s="455" t="e">
        <f ca="1"/>
        <v>#NAME?</v>
      </c>
      <c r="P13" s="1" t="e">
        <f t="shared" ca="1" si="6"/>
        <v>#NAME?</v>
      </c>
      <c r="Q13" s="90" t="e">
        <f t="shared" ca="1" si="7"/>
        <v>#NAME?</v>
      </c>
      <c r="R13" s="1" t="e">
        <f t="shared" ca="1" si="8"/>
        <v>#NAME?</v>
      </c>
      <c r="Y13"/>
      <c r="Z13"/>
      <c r="AA13"/>
      <c r="AB13"/>
      <c r="AC13"/>
    </row>
    <row r="14" spans="1:29" x14ac:dyDescent="0.2">
      <c r="A14" s="448">
        <v>1</v>
      </c>
      <c r="B14" s="94">
        <v>0</v>
      </c>
      <c r="C14" s="94">
        <f>SQRT(3)</f>
        <v>1.7320508075688772</v>
      </c>
      <c r="D14" s="94">
        <v>0</v>
      </c>
      <c r="E14" s="89">
        <f t="shared" si="0"/>
        <v>0</v>
      </c>
      <c r="F14" s="94">
        <f t="shared" si="1"/>
        <v>0</v>
      </c>
      <c r="G14" s="475">
        <f t="shared" si="2"/>
        <v>0</v>
      </c>
      <c r="H14" s="94">
        <f t="shared" si="3"/>
        <v>-0.93333333333333335</v>
      </c>
      <c r="I14" s="94">
        <f t="shared" si="4"/>
        <v>2.0666666666666664</v>
      </c>
      <c r="J14" s="475">
        <f t="shared" si="5"/>
        <v>-0.93333333333333335</v>
      </c>
      <c r="K14" s="622">
        <v>58.660254037844382</v>
      </c>
      <c r="L14" s="622">
        <v>60.639740675065958</v>
      </c>
      <c r="M14" s="67">
        <v>23</v>
      </c>
      <c r="N14" s="466">
        <v>0</v>
      </c>
      <c r="O14" s="106" t="e">
        <f ca="1"/>
        <v>#NAME?</v>
      </c>
      <c r="P14" s="76" t="e">
        <f t="shared" ca="1" si="6"/>
        <v>#NAME?</v>
      </c>
      <c r="Q14" s="77" t="e">
        <f t="shared" ca="1" si="7"/>
        <v>#NAME?</v>
      </c>
      <c r="R14" s="1" t="e">
        <f t="shared" ca="1" si="8"/>
        <v>#NAME?</v>
      </c>
      <c r="Y14"/>
      <c r="Z14"/>
      <c r="AA14"/>
      <c r="AB14"/>
      <c r="AC14"/>
    </row>
    <row r="15" spans="1:29" x14ac:dyDescent="0.2">
      <c r="A15" s="448">
        <v>1</v>
      </c>
      <c r="B15" s="94">
        <v>0</v>
      </c>
      <c r="C15" s="94">
        <f>-C14</f>
        <v>-1.7320508075688772</v>
      </c>
      <c r="D15" s="94">
        <v>0</v>
      </c>
      <c r="E15" s="89">
        <f t="shared" si="0"/>
        <v>0</v>
      </c>
      <c r="F15" s="94">
        <f t="shared" si="1"/>
        <v>0</v>
      </c>
      <c r="G15" s="475">
        <f t="shared" si="2"/>
        <v>0</v>
      </c>
      <c r="H15" s="94">
        <f t="shared" si="3"/>
        <v>-0.93333333333333335</v>
      </c>
      <c r="I15" s="94">
        <f t="shared" si="4"/>
        <v>2.0666666666666664</v>
      </c>
      <c r="J15" s="475">
        <f t="shared" si="5"/>
        <v>-0.93333333333333335</v>
      </c>
      <c r="K15" s="622">
        <v>41.339745962155618</v>
      </c>
      <c r="L15" s="622">
        <v>39.360259324934042</v>
      </c>
      <c r="M15" s="620">
        <v>11</v>
      </c>
      <c r="N15" s="468">
        <v>2.4999999999999956</v>
      </c>
      <c r="O15" s="455" t="e">
        <f ca="1"/>
        <v>#NAME?</v>
      </c>
      <c r="P15" s="1" t="e">
        <f t="shared" ca="1" si="6"/>
        <v>#NAME?</v>
      </c>
      <c r="Q15" s="90" t="e">
        <f t="shared" ca="1" si="7"/>
        <v>#NAME?</v>
      </c>
      <c r="R15" s="1" t="e">
        <f t="shared" ca="1" si="8"/>
        <v>#NAME?</v>
      </c>
      <c r="Y15"/>
      <c r="Z15"/>
      <c r="AA15"/>
      <c r="AB15"/>
      <c r="AC15"/>
    </row>
    <row r="16" spans="1:29" x14ac:dyDescent="0.2">
      <c r="A16" s="448">
        <v>1</v>
      </c>
      <c r="B16" s="94">
        <v>0</v>
      </c>
      <c r="C16" s="94">
        <v>0</v>
      </c>
      <c r="D16" s="94">
        <f>SQRT(3)</f>
        <v>1.7320508075688772</v>
      </c>
      <c r="E16" s="89">
        <f t="shared" si="0"/>
        <v>0</v>
      </c>
      <c r="F16" s="94">
        <f t="shared" si="1"/>
        <v>0</v>
      </c>
      <c r="G16" s="475">
        <f t="shared" si="2"/>
        <v>0</v>
      </c>
      <c r="H16" s="94">
        <f t="shared" si="3"/>
        <v>-0.93333333333333335</v>
      </c>
      <c r="I16" s="94">
        <f t="shared" si="4"/>
        <v>-0.93333333333333335</v>
      </c>
      <c r="J16" s="475">
        <f t="shared" si="5"/>
        <v>2.0666666666666664</v>
      </c>
      <c r="K16" s="622">
        <v>46.071796769724493</v>
      </c>
      <c r="L16" s="622">
        <v>49.337949721140085</v>
      </c>
      <c r="M16" s="620">
        <v>22</v>
      </c>
      <c r="N16" s="468">
        <v>-3.0114799542957371E-15</v>
      </c>
      <c r="O16" s="455" t="e">
        <f ca="1"/>
        <v>#NAME?</v>
      </c>
      <c r="P16" s="1" t="e">
        <f t="shared" ca="1" si="6"/>
        <v>#NAME?</v>
      </c>
      <c r="Q16" s="90" t="e">
        <f t="shared" ca="1" si="7"/>
        <v>#NAME?</v>
      </c>
      <c r="R16" s="1" t="e">
        <f t="shared" ca="1" si="8"/>
        <v>#NAME?</v>
      </c>
      <c r="Y16"/>
      <c r="Z16"/>
      <c r="AA16"/>
      <c r="AB16"/>
      <c r="AC16"/>
    </row>
    <row r="17" spans="1:29" x14ac:dyDescent="0.2">
      <c r="A17" s="95">
        <v>1</v>
      </c>
      <c r="B17" s="96">
        <v>0</v>
      </c>
      <c r="C17" s="96">
        <v>0</v>
      </c>
      <c r="D17" s="96">
        <f>-D16</f>
        <v>-1.7320508075688772</v>
      </c>
      <c r="E17" s="75">
        <f t="shared" si="0"/>
        <v>0</v>
      </c>
      <c r="F17" s="96">
        <f t="shared" si="1"/>
        <v>0</v>
      </c>
      <c r="G17" s="97">
        <f t="shared" si="2"/>
        <v>0</v>
      </c>
      <c r="H17" s="96">
        <f t="shared" si="3"/>
        <v>-0.93333333333333335</v>
      </c>
      <c r="I17" s="96">
        <f t="shared" si="4"/>
        <v>-0.93333333333333335</v>
      </c>
      <c r="J17" s="97">
        <f t="shared" si="5"/>
        <v>2.0666666666666664</v>
      </c>
      <c r="K17" s="621">
        <v>59.928203230275507</v>
      </c>
      <c r="L17" s="621">
        <v>56.662050278859915</v>
      </c>
      <c r="M17" s="620">
        <v>33</v>
      </c>
      <c r="N17" s="466">
        <v>0.99999999999999767</v>
      </c>
      <c r="O17" s="106" t="e">
        <f ca="1"/>
        <v>#NAME?</v>
      </c>
      <c r="P17" s="76" t="e">
        <f t="shared" ca="1" si="6"/>
        <v>#NAME?</v>
      </c>
      <c r="Q17" s="77" t="e">
        <f t="shared" ca="1" si="7"/>
        <v>#NAME?</v>
      </c>
      <c r="R17" s="1" t="e">
        <f t="shared" ca="1" si="8"/>
        <v>#NAME?</v>
      </c>
      <c r="Y17"/>
      <c r="Z17"/>
      <c r="AA17"/>
      <c r="AB17"/>
      <c r="AC17"/>
    </row>
    <row r="18" spans="1:29" ht="18" x14ac:dyDescent="0.2">
      <c r="A18" s="1369" t="s">
        <v>35</v>
      </c>
      <c r="B18" s="1450"/>
      <c r="C18" s="1450"/>
      <c r="D18" s="1450"/>
      <c r="E18" s="1450"/>
      <c r="F18" s="1450"/>
      <c r="G18" s="1450"/>
      <c r="H18" s="1450"/>
      <c r="I18" s="1450"/>
      <c r="J18" s="1451"/>
      <c r="K18" s="524" t="s">
        <v>34</v>
      </c>
      <c r="L18" s="1369" t="s">
        <v>40</v>
      </c>
      <c r="M18" s="1450"/>
      <c r="N18" s="1450"/>
      <c r="O18" s="1450"/>
      <c r="P18" s="1450"/>
      <c r="Q18" s="1450"/>
      <c r="R18" s="1450"/>
      <c r="S18" s="1450"/>
      <c r="T18" s="1450"/>
      <c r="U18" s="1451"/>
      <c r="Y18"/>
      <c r="Z18"/>
      <c r="AA18"/>
      <c r="AB18"/>
      <c r="AC18"/>
    </row>
    <row r="19" spans="1:29" x14ac:dyDescent="0.2">
      <c r="A19" s="118">
        <f t="array" ref="A19:J28">MMULT(TRANSPOSE(X),X)</f>
        <v>15</v>
      </c>
      <c r="B19" s="88">
        <v>0</v>
      </c>
      <c r="C19" s="88">
        <v>0</v>
      </c>
      <c r="D19" s="88">
        <v>0</v>
      </c>
      <c r="E19" s="81">
        <v>0</v>
      </c>
      <c r="F19" s="88">
        <v>0</v>
      </c>
      <c r="G19" s="80">
        <v>0</v>
      </c>
      <c r="H19" s="88">
        <v>-1.1102230246251565E-15</v>
      </c>
      <c r="I19" s="88">
        <v>-4.4408920985006262E-16</v>
      </c>
      <c r="J19" s="80">
        <v>-8.8817841970012523E-16</v>
      </c>
      <c r="K19" s="619">
        <f t="array" ref="K19:K28">MMULT(TRANSPOSE(X),y)</f>
        <v>799</v>
      </c>
      <c r="L19" s="456">
        <f t="array" ref="L19:U28">MINVERSE(MMULT(TRANSPOSE(X),X))</f>
        <v>6.6666666666666666E-2</v>
      </c>
      <c r="M19" s="456">
        <v>0</v>
      </c>
      <c r="N19" s="457">
        <v>0</v>
      </c>
      <c r="O19" s="93">
        <v>0</v>
      </c>
      <c r="P19" s="456">
        <v>0</v>
      </c>
      <c r="Q19" s="457">
        <v>0</v>
      </c>
      <c r="R19" s="93">
        <v>0</v>
      </c>
      <c r="S19" s="457">
        <v>2.0481363029240098E-17</v>
      </c>
      <c r="T19" s="457">
        <v>1.8014200752295305E-17</v>
      </c>
      <c r="U19" s="93">
        <v>1.9658975603591832E-17</v>
      </c>
      <c r="Y19"/>
      <c r="Z19"/>
      <c r="AA19"/>
      <c r="AB19"/>
      <c r="AC19"/>
    </row>
    <row r="20" spans="1:29" x14ac:dyDescent="0.2">
      <c r="A20" s="118">
        <v>0</v>
      </c>
      <c r="B20" s="88">
        <v>14</v>
      </c>
      <c r="C20" s="88">
        <v>0</v>
      </c>
      <c r="D20" s="88">
        <v>0</v>
      </c>
      <c r="E20" s="81">
        <v>0</v>
      </c>
      <c r="F20" s="88">
        <v>0</v>
      </c>
      <c r="G20" s="80">
        <v>0</v>
      </c>
      <c r="H20" s="88">
        <v>0</v>
      </c>
      <c r="I20" s="88">
        <v>0</v>
      </c>
      <c r="J20" s="80">
        <v>0</v>
      </c>
      <c r="K20" s="619">
        <v>155</v>
      </c>
      <c r="L20" s="81">
        <v>0</v>
      </c>
      <c r="M20" s="81">
        <v>7.1428571428571425E-2</v>
      </c>
      <c r="N20" s="88">
        <v>0</v>
      </c>
      <c r="O20" s="80">
        <v>0</v>
      </c>
      <c r="P20" s="81">
        <v>0</v>
      </c>
      <c r="Q20" s="88">
        <v>0</v>
      </c>
      <c r="R20" s="80">
        <v>0</v>
      </c>
      <c r="S20" s="88">
        <v>0</v>
      </c>
      <c r="T20" s="88">
        <v>0</v>
      </c>
      <c r="U20" s="80">
        <v>0</v>
      </c>
      <c r="Y20"/>
      <c r="Z20"/>
      <c r="AA20"/>
      <c r="AB20"/>
      <c r="AC20"/>
    </row>
    <row r="21" spans="1:29" x14ac:dyDescent="0.2">
      <c r="A21" s="450">
        <v>0</v>
      </c>
      <c r="B21" s="1">
        <v>0</v>
      </c>
      <c r="C21" s="1">
        <v>14</v>
      </c>
      <c r="D21" s="1">
        <v>0</v>
      </c>
      <c r="E21" s="455">
        <v>0</v>
      </c>
      <c r="F21" s="1">
        <v>0</v>
      </c>
      <c r="G21" s="90">
        <v>0</v>
      </c>
      <c r="H21" s="1">
        <v>0</v>
      </c>
      <c r="I21" s="1">
        <v>0</v>
      </c>
      <c r="J21" s="90">
        <v>0</v>
      </c>
      <c r="K21" s="618">
        <v>85.999999999999986</v>
      </c>
      <c r="L21" s="455">
        <v>0</v>
      </c>
      <c r="M21" s="455">
        <v>0</v>
      </c>
      <c r="N21" s="1">
        <v>7.1428571428571425E-2</v>
      </c>
      <c r="O21" s="90">
        <v>0</v>
      </c>
      <c r="P21" s="455">
        <v>0</v>
      </c>
      <c r="Q21" s="1">
        <v>0</v>
      </c>
      <c r="R21" s="90">
        <v>0</v>
      </c>
      <c r="S21" s="1">
        <v>0</v>
      </c>
      <c r="T21" s="1">
        <v>0</v>
      </c>
      <c r="U21" s="90">
        <v>0</v>
      </c>
      <c r="Y21"/>
      <c r="Z21"/>
      <c r="AA21"/>
      <c r="AB21"/>
      <c r="AC21"/>
    </row>
    <row r="22" spans="1:29" x14ac:dyDescent="0.2">
      <c r="A22" s="92">
        <v>0</v>
      </c>
      <c r="B22" s="76">
        <v>0</v>
      </c>
      <c r="C22" s="76">
        <v>0</v>
      </c>
      <c r="D22" s="76">
        <v>14</v>
      </c>
      <c r="E22" s="106">
        <v>0</v>
      </c>
      <c r="F22" s="76">
        <v>0</v>
      </c>
      <c r="G22" s="77">
        <v>0</v>
      </c>
      <c r="H22" s="76">
        <v>0</v>
      </c>
      <c r="I22" s="76">
        <v>0</v>
      </c>
      <c r="J22" s="77">
        <v>0</v>
      </c>
      <c r="K22" s="617">
        <v>-29.600000000000009</v>
      </c>
      <c r="L22" s="106">
        <v>0</v>
      </c>
      <c r="M22" s="106">
        <v>0</v>
      </c>
      <c r="N22" s="76">
        <v>0</v>
      </c>
      <c r="O22" s="77">
        <v>7.1428571428571425E-2</v>
      </c>
      <c r="P22" s="106">
        <v>0</v>
      </c>
      <c r="Q22" s="76">
        <v>0</v>
      </c>
      <c r="R22" s="77">
        <v>0</v>
      </c>
      <c r="S22" s="76">
        <v>0</v>
      </c>
      <c r="T22" s="76">
        <v>0</v>
      </c>
      <c r="U22" s="77">
        <v>0</v>
      </c>
      <c r="Y22"/>
      <c r="Z22"/>
      <c r="AA22"/>
      <c r="AB22"/>
      <c r="AC22"/>
    </row>
    <row r="23" spans="1:29" x14ac:dyDescent="0.2">
      <c r="A23" s="450">
        <v>0</v>
      </c>
      <c r="B23" s="1">
        <v>0</v>
      </c>
      <c r="C23" s="1">
        <v>0</v>
      </c>
      <c r="D23" s="1">
        <v>0</v>
      </c>
      <c r="E23" s="455">
        <v>8</v>
      </c>
      <c r="F23" s="1">
        <v>0</v>
      </c>
      <c r="G23" s="90">
        <v>0</v>
      </c>
      <c r="H23" s="1">
        <v>0</v>
      </c>
      <c r="I23" s="1">
        <v>0</v>
      </c>
      <c r="J23" s="90">
        <v>0</v>
      </c>
      <c r="K23" s="618">
        <v>40</v>
      </c>
      <c r="L23" s="81">
        <v>0</v>
      </c>
      <c r="M23" s="81">
        <v>0</v>
      </c>
      <c r="N23" s="88">
        <v>0</v>
      </c>
      <c r="O23" s="80">
        <v>0</v>
      </c>
      <c r="P23" s="81">
        <v>0.125</v>
      </c>
      <c r="Q23" s="88">
        <v>0</v>
      </c>
      <c r="R23" s="80">
        <v>0</v>
      </c>
      <c r="S23" s="88">
        <v>0</v>
      </c>
      <c r="T23" s="88">
        <v>0</v>
      </c>
      <c r="U23" s="80">
        <v>0</v>
      </c>
      <c r="Y23"/>
      <c r="Z23"/>
      <c r="AA23"/>
      <c r="AB23"/>
      <c r="AC23"/>
    </row>
    <row r="24" spans="1:29" x14ac:dyDescent="0.2">
      <c r="A24" s="450">
        <v>0</v>
      </c>
      <c r="B24" s="1">
        <v>0</v>
      </c>
      <c r="C24" s="1">
        <v>0</v>
      </c>
      <c r="D24" s="1">
        <v>0</v>
      </c>
      <c r="E24" s="455">
        <v>0</v>
      </c>
      <c r="F24" s="1">
        <v>8</v>
      </c>
      <c r="G24" s="90">
        <v>0</v>
      </c>
      <c r="H24" s="1">
        <v>0</v>
      </c>
      <c r="I24" s="1">
        <v>0</v>
      </c>
      <c r="J24" s="90">
        <v>0</v>
      </c>
      <c r="K24" s="618">
        <v>8</v>
      </c>
      <c r="L24" s="455">
        <v>0</v>
      </c>
      <c r="M24" s="455">
        <v>0</v>
      </c>
      <c r="N24" s="1">
        <v>0</v>
      </c>
      <c r="O24" s="90">
        <v>0</v>
      </c>
      <c r="P24" s="455">
        <v>0</v>
      </c>
      <c r="Q24" s="1">
        <v>0.125</v>
      </c>
      <c r="R24" s="90">
        <v>0</v>
      </c>
      <c r="S24" s="1">
        <v>0</v>
      </c>
      <c r="T24" s="1">
        <v>0</v>
      </c>
      <c r="U24" s="90">
        <v>0</v>
      </c>
      <c r="Y24"/>
      <c r="Z24"/>
      <c r="AA24"/>
      <c r="AB24"/>
      <c r="AC24"/>
    </row>
    <row r="25" spans="1:29" x14ac:dyDescent="0.2">
      <c r="A25" s="450">
        <v>0</v>
      </c>
      <c r="B25" s="1">
        <v>0</v>
      </c>
      <c r="C25" s="1">
        <v>0</v>
      </c>
      <c r="D25" s="1">
        <v>0</v>
      </c>
      <c r="E25" s="455">
        <v>0</v>
      </c>
      <c r="F25" s="1">
        <v>0</v>
      </c>
      <c r="G25" s="90">
        <v>8</v>
      </c>
      <c r="H25" s="1">
        <v>0</v>
      </c>
      <c r="I25" s="1">
        <v>0</v>
      </c>
      <c r="J25" s="90">
        <v>0</v>
      </c>
      <c r="K25" s="618">
        <v>0</v>
      </c>
      <c r="L25" s="455">
        <v>0</v>
      </c>
      <c r="M25" s="455">
        <v>0</v>
      </c>
      <c r="N25" s="1">
        <v>0</v>
      </c>
      <c r="O25" s="90">
        <v>0</v>
      </c>
      <c r="P25" s="455">
        <v>0</v>
      </c>
      <c r="Q25" s="1">
        <v>0</v>
      </c>
      <c r="R25" s="90">
        <v>0.125</v>
      </c>
      <c r="S25" s="1">
        <v>0</v>
      </c>
      <c r="T25" s="1">
        <v>0</v>
      </c>
      <c r="U25" s="90">
        <v>0</v>
      </c>
      <c r="Y25"/>
      <c r="Z25"/>
      <c r="AA25"/>
      <c r="AB25"/>
      <c r="AC25"/>
    </row>
    <row r="26" spans="1:29" x14ac:dyDescent="0.2">
      <c r="A26" s="118">
        <v>-1.1102230246251565E-15</v>
      </c>
      <c r="B26" s="88">
        <v>0</v>
      </c>
      <c r="C26" s="88">
        <v>0</v>
      </c>
      <c r="D26" s="88">
        <v>0</v>
      </c>
      <c r="E26" s="81">
        <v>0</v>
      </c>
      <c r="F26" s="88">
        <v>0</v>
      </c>
      <c r="G26" s="80">
        <v>0</v>
      </c>
      <c r="H26" s="88">
        <v>12.93333333333333</v>
      </c>
      <c r="I26" s="88">
        <v>-5.0666666666666647</v>
      </c>
      <c r="J26" s="80">
        <v>-5.0666666666666655</v>
      </c>
      <c r="K26" s="619">
        <v>27.266666666666588</v>
      </c>
      <c r="L26" s="81">
        <v>2.0481363029240098E-17</v>
      </c>
      <c r="M26" s="81">
        <v>0</v>
      </c>
      <c r="N26" s="88">
        <v>0</v>
      </c>
      <c r="O26" s="80">
        <v>0</v>
      </c>
      <c r="P26" s="81">
        <v>0</v>
      </c>
      <c r="Q26" s="88">
        <v>0</v>
      </c>
      <c r="R26" s="80">
        <v>0</v>
      </c>
      <c r="S26" s="88">
        <v>0.15608465608465605</v>
      </c>
      <c r="T26" s="88">
        <v>0.10052910052910051</v>
      </c>
      <c r="U26" s="80">
        <v>0.10052910052910051</v>
      </c>
      <c r="Y26"/>
      <c r="Z26"/>
      <c r="AA26"/>
      <c r="AB26"/>
      <c r="AC26"/>
    </row>
    <row r="27" spans="1:29" x14ac:dyDescent="0.2">
      <c r="A27" s="450">
        <v>-4.4408920985006262E-16</v>
      </c>
      <c r="B27" s="1">
        <v>0</v>
      </c>
      <c r="C27" s="1">
        <v>0</v>
      </c>
      <c r="D27" s="1">
        <v>0</v>
      </c>
      <c r="E27" s="455">
        <v>0</v>
      </c>
      <c r="F27" s="1">
        <v>0</v>
      </c>
      <c r="G27" s="90">
        <v>0</v>
      </c>
      <c r="H27" s="1">
        <v>-5.0666666666666647</v>
      </c>
      <c r="I27" s="1">
        <v>12.93333333333333</v>
      </c>
      <c r="J27" s="90">
        <v>-5.0666666666666655</v>
      </c>
      <c r="K27" s="618">
        <v>-17.733333333333363</v>
      </c>
      <c r="L27" s="455">
        <v>1.8014200752295302E-17</v>
      </c>
      <c r="M27" s="455">
        <v>0</v>
      </c>
      <c r="N27" s="1">
        <v>0</v>
      </c>
      <c r="O27" s="90">
        <v>0</v>
      </c>
      <c r="P27" s="455">
        <v>0</v>
      </c>
      <c r="Q27" s="1">
        <v>0</v>
      </c>
      <c r="R27" s="90">
        <v>0</v>
      </c>
      <c r="S27" s="1">
        <v>0.10052910052910051</v>
      </c>
      <c r="T27" s="1">
        <v>0.15608465608465608</v>
      </c>
      <c r="U27" s="90">
        <v>0.1005291005291005</v>
      </c>
      <c r="Y27"/>
      <c r="Z27"/>
      <c r="AA27"/>
      <c r="AB27"/>
      <c r="AC27"/>
    </row>
    <row r="28" spans="1:29" x14ac:dyDescent="0.2">
      <c r="A28" s="92">
        <v>-8.8817841970012523E-16</v>
      </c>
      <c r="B28" s="76">
        <v>0</v>
      </c>
      <c r="C28" s="76">
        <v>0</v>
      </c>
      <c r="D28" s="76">
        <v>0</v>
      </c>
      <c r="E28" s="106">
        <v>0</v>
      </c>
      <c r="F28" s="76">
        <v>0</v>
      </c>
      <c r="G28" s="77">
        <v>0</v>
      </c>
      <c r="H28" s="76">
        <v>-5.0666666666666655</v>
      </c>
      <c r="I28" s="76">
        <v>-5.0666666666666655</v>
      </c>
      <c r="J28" s="77">
        <v>12.933333333333334</v>
      </c>
      <c r="K28" s="617">
        <v>0.26666666666662309</v>
      </c>
      <c r="L28" s="106">
        <v>1.9658975603591829E-17</v>
      </c>
      <c r="M28" s="106">
        <v>0</v>
      </c>
      <c r="N28" s="76">
        <v>0</v>
      </c>
      <c r="O28" s="77">
        <v>0</v>
      </c>
      <c r="P28" s="106">
        <v>0</v>
      </c>
      <c r="Q28" s="76">
        <v>0</v>
      </c>
      <c r="R28" s="77">
        <v>0</v>
      </c>
      <c r="S28" s="76">
        <v>0.1005291005291005</v>
      </c>
      <c r="T28" s="76">
        <v>0.1005291005291005</v>
      </c>
      <c r="U28" s="77">
        <v>0.15608465608465605</v>
      </c>
      <c r="Z28"/>
    </row>
    <row r="29" spans="1:29" x14ac:dyDescent="0.2">
      <c r="Z29"/>
    </row>
    <row r="30" spans="1:29" x14ac:dyDescent="0.2">
      <c r="Z30"/>
    </row>
    <row r="31" spans="1:29" x14ac:dyDescent="0.2">
      <c r="W31"/>
      <c r="X31"/>
      <c r="Y31"/>
      <c r="Z31"/>
    </row>
    <row r="32" spans="1:29" x14ac:dyDescent="0.2">
      <c r="W32"/>
      <c r="X32"/>
      <c r="Y32"/>
      <c r="Z32"/>
    </row>
    <row r="33" spans="13:26" x14ac:dyDescent="0.2">
      <c r="W33"/>
      <c r="X33"/>
      <c r="Y33"/>
      <c r="Z33"/>
    </row>
    <row r="34" spans="13:26" x14ac:dyDescent="0.2">
      <c r="W34"/>
      <c r="X34"/>
      <c r="Y34"/>
      <c r="Z34"/>
    </row>
    <row r="35" spans="13:26" x14ac:dyDescent="0.2">
      <c r="W35"/>
      <c r="X35"/>
      <c r="Y35"/>
      <c r="Z35"/>
    </row>
    <row r="36" spans="13:26" x14ac:dyDescent="0.2">
      <c r="W36"/>
      <c r="X36"/>
      <c r="Y36"/>
      <c r="Z36"/>
    </row>
    <row r="37" spans="13:26" x14ac:dyDescent="0.2">
      <c r="W37"/>
      <c r="X37"/>
      <c r="Y37"/>
      <c r="Z37"/>
    </row>
    <row r="38" spans="13:26" x14ac:dyDescent="0.2">
      <c r="W38"/>
      <c r="X38"/>
      <c r="Y38"/>
      <c r="Z38"/>
    </row>
    <row r="39" spans="13:26" x14ac:dyDescent="0.2">
      <c r="W39"/>
      <c r="X39"/>
      <c r="Y39"/>
      <c r="Z39"/>
    </row>
    <row r="40" spans="13:26" customFormat="1" x14ac:dyDescent="0.2">
      <c r="M40" s="511"/>
      <c r="N40" s="1"/>
      <c r="O40" s="1"/>
      <c r="P40" s="1"/>
      <c r="Q40" s="1"/>
      <c r="R40" s="1"/>
    </row>
    <row r="41" spans="13:26" customFormat="1" x14ac:dyDescent="0.2">
      <c r="M41" s="511"/>
      <c r="N41" s="1"/>
      <c r="O41" s="1"/>
      <c r="P41" s="1"/>
      <c r="Q41" s="1"/>
      <c r="R41" s="1"/>
    </row>
    <row r="42" spans="13:26" customFormat="1" x14ac:dyDescent="0.2">
      <c r="M42" s="511"/>
      <c r="N42" s="1"/>
      <c r="O42" s="1"/>
      <c r="P42" s="1"/>
      <c r="Q42" s="1"/>
      <c r="R42" s="1"/>
    </row>
    <row r="43" spans="13:26" customFormat="1" x14ac:dyDescent="0.2">
      <c r="M43" s="511"/>
      <c r="N43" s="1"/>
      <c r="O43" s="1"/>
      <c r="P43" s="1"/>
      <c r="Q43" s="1"/>
      <c r="R43" s="1"/>
    </row>
    <row r="44" spans="13:26" customFormat="1" x14ac:dyDescent="0.2">
      <c r="M44" s="511"/>
      <c r="N44" s="1"/>
      <c r="O44" s="1"/>
      <c r="P44" s="1"/>
      <c r="Q44" s="1"/>
      <c r="R44" s="1"/>
    </row>
    <row r="45" spans="13:26" customFormat="1" x14ac:dyDescent="0.2">
      <c r="M45" s="511"/>
      <c r="N45" s="1"/>
      <c r="O45" s="1"/>
      <c r="P45" s="1"/>
      <c r="Q45" s="1"/>
      <c r="R45" s="1"/>
    </row>
    <row r="46" spans="13:26" customFormat="1" x14ac:dyDescent="0.2">
      <c r="M46" s="511"/>
      <c r="N46" s="1"/>
      <c r="O46" s="1"/>
      <c r="P46" s="1"/>
      <c r="Q46" s="1"/>
      <c r="R46" s="1"/>
    </row>
    <row r="47" spans="13:26" customFormat="1" x14ac:dyDescent="0.2">
      <c r="M47" s="511"/>
      <c r="N47" s="1"/>
      <c r="O47" s="1"/>
      <c r="P47" s="1"/>
      <c r="Q47" s="1"/>
      <c r="R47" s="1"/>
    </row>
    <row r="48" spans="13:26" customFormat="1" x14ac:dyDescent="0.2">
      <c r="M48" s="511"/>
      <c r="N48" s="1"/>
      <c r="O48" s="1"/>
      <c r="P48" s="1"/>
      <c r="Q48" s="1"/>
      <c r="R48" s="1"/>
    </row>
    <row r="49" spans="13:18" customFormat="1" x14ac:dyDescent="0.2">
      <c r="M49" s="511"/>
      <c r="N49" s="1"/>
      <c r="O49" s="1"/>
      <c r="P49" s="1"/>
      <c r="Q49" s="1"/>
      <c r="R49" s="1"/>
    </row>
    <row r="50" spans="13:18" customFormat="1" x14ac:dyDescent="0.2">
      <c r="M50" s="511"/>
      <c r="N50" s="1"/>
      <c r="O50" s="1"/>
      <c r="P50" s="1"/>
      <c r="Q50" s="1"/>
      <c r="R50" s="1"/>
    </row>
    <row r="51" spans="13:18" customFormat="1" x14ac:dyDescent="0.2">
      <c r="M51" s="511"/>
      <c r="N51" s="1"/>
      <c r="O51" s="1"/>
      <c r="P51" s="1"/>
      <c r="Q51" s="1"/>
      <c r="R51" s="1"/>
    </row>
    <row r="52" spans="13:18" customFormat="1" x14ac:dyDescent="0.2">
      <c r="M52" s="511"/>
      <c r="N52" s="1"/>
      <c r="O52" s="1"/>
      <c r="P52" s="1"/>
      <c r="Q52" s="1"/>
      <c r="R52" s="1"/>
    </row>
    <row r="53" spans="13:18" customFormat="1" x14ac:dyDescent="0.2">
      <c r="M53" s="511"/>
      <c r="N53" s="1"/>
      <c r="O53" s="1"/>
      <c r="P53" s="1"/>
      <c r="Q53" s="1"/>
      <c r="R53" s="1"/>
    </row>
    <row r="54" spans="13:18" customFormat="1" x14ac:dyDescent="0.2">
      <c r="M54" s="511"/>
      <c r="N54" s="1"/>
      <c r="O54" s="1"/>
      <c r="P54" s="1"/>
      <c r="Q54" s="1"/>
      <c r="R54" s="1"/>
    </row>
    <row r="55" spans="13:18" customFormat="1" x14ac:dyDescent="0.2">
      <c r="M55" s="511"/>
      <c r="N55" s="1"/>
      <c r="O55" s="1"/>
      <c r="P55" s="1"/>
      <c r="Q55" s="1"/>
      <c r="R55" s="1"/>
    </row>
    <row r="56" spans="13:18" customFormat="1" x14ac:dyDescent="0.2">
      <c r="M56" s="511"/>
      <c r="N56" s="1"/>
      <c r="O56" s="1"/>
      <c r="P56" s="1"/>
      <c r="Q56" s="1"/>
      <c r="R56" s="1"/>
    </row>
    <row r="57" spans="13:18" customFormat="1" x14ac:dyDescent="0.2">
      <c r="M57" s="511"/>
      <c r="N57" s="1"/>
      <c r="O57" s="1"/>
      <c r="P57" s="1"/>
      <c r="Q57" s="1"/>
      <c r="R57" s="1"/>
    </row>
    <row r="58" spans="13:18" customFormat="1" x14ac:dyDescent="0.2">
      <c r="M58" s="511"/>
      <c r="N58" s="1"/>
      <c r="O58" s="1"/>
      <c r="P58" s="1"/>
      <c r="Q58" s="1"/>
      <c r="R58" s="1"/>
    </row>
    <row r="59" spans="13:18" customFormat="1" x14ac:dyDescent="0.2">
      <c r="M59" s="511"/>
      <c r="N59" s="1"/>
      <c r="O59" s="1"/>
      <c r="P59" s="1"/>
      <c r="Q59" s="1"/>
      <c r="R59" s="1"/>
    </row>
    <row r="60" spans="13:18" customFormat="1" x14ac:dyDescent="0.2">
      <c r="M60" s="511"/>
      <c r="N60" s="1"/>
      <c r="O60" s="1"/>
      <c r="P60" s="1"/>
      <c r="Q60" s="1"/>
      <c r="R60" s="1"/>
    </row>
    <row r="61" spans="13:18" customFormat="1" x14ac:dyDescent="0.2">
      <c r="M61" s="511"/>
      <c r="N61" s="1"/>
      <c r="O61" s="1"/>
      <c r="P61" s="1"/>
      <c r="Q61" s="1"/>
      <c r="R61" s="1"/>
    </row>
  </sheetData>
  <mergeCells count="4">
    <mergeCell ref="A1:J1"/>
    <mergeCell ref="A18:J18"/>
    <mergeCell ref="L18:U18"/>
    <mergeCell ref="M1:R1"/>
  </mergeCells>
  <conditionalFormatting sqref="A19:J28 L19:U28">
    <cfRule type="cellIs" dxfId="31" priority="1" operator="between">
      <formula>-0.0001</formula>
      <formula>0.0001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F1E87-940F-4059-9119-74752925C53F}">
  <dimension ref="A1:V40"/>
  <sheetViews>
    <sheetView topLeftCell="A19" zoomScaleNormal="100" workbookViewId="0">
      <selection activeCell="B31" sqref="B31"/>
    </sheetView>
  </sheetViews>
  <sheetFormatPr baseColWidth="10" defaultColWidth="6.83203125" defaultRowHeight="16" x14ac:dyDescent="0.2"/>
  <cols>
    <col min="1" max="1" width="6.83203125" style="94"/>
    <col min="2" max="4" width="6.83203125" style="94" customWidth="1"/>
    <col min="5" max="7" width="6.83203125" style="94"/>
    <col min="8" max="8" width="6.83203125" style="94" customWidth="1"/>
    <col min="9" max="9" width="6.83203125" style="94"/>
    <col min="10" max="19" width="6.83203125" style="94" customWidth="1"/>
    <col min="20" max="20" width="6.83203125" style="94"/>
    <col min="21" max="22" width="6.83203125" style="94" customWidth="1"/>
    <col min="23" max="16384" width="6.83203125" style="94"/>
  </cols>
  <sheetData>
    <row r="1" spans="8:15" x14ac:dyDescent="0.2">
      <c r="H1"/>
      <c r="I1" s="1357" t="s">
        <v>251</v>
      </c>
      <c r="J1" s="1346"/>
      <c r="K1" s="1346"/>
      <c r="L1" s="1459"/>
      <c r="M1" s="1459"/>
      <c r="N1" s="1459"/>
      <c r="O1" s="1460"/>
    </row>
    <row r="2" spans="8:15" s="511" customFormat="1" ht="18" x14ac:dyDescent="0.25">
      <c r="H2" s="69" t="s">
        <v>10</v>
      </c>
      <c r="I2" s="69" t="s">
        <v>250</v>
      </c>
      <c r="J2" s="71" t="s">
        <v>249</v>
      </c>
      <c r="K2" s="70" t="s">
        <v>248</v>
      </c>
      <c r="L2" s="71">
        <v>12</v>
      </c>
      <c r="M2" s="71">
        <v>13</v>
      </c>
      <c r="N2" s="71">
        <v>23</v>
      </c>
      <c r="O2" s="130">
        <v>123</v>
      </c>
    </row>
    <row r="3" spans="8:15" x14ac:dyDescent="0.2">
      <c r="H3" s="38">
        <v>1</v>
      </c>
      <c r="I3" s="616">
        <v>1</v>
      </c>
      <c r="J3" s="614">
        <v>0</v>
      </c>
      <c r="K3" s="615">
        <v>0</v>
      </c>
      <c r="L3" s="614">
        <f t="shared" ref="L3:L9" si="0">I3*J3</f>
        <v>0</v>
      </c>
      <c r="M3" s="614">
        <f t="shared" ref="M3:M9" si="1">I3*K3</f>
        <v>0</v>
      </c>
      <c r="N3" s="614">
        <f t="shared" ref="N3:N9" si="2">J3*K3</f>
        <v>0</v>
      </c>
      <c r="O3" s="613">
        <f t="shared" ref="O3:O9" si="3">PRODUCT(I3:K3)</f>
        <v>0</v>
      </c>
    </row>
    <row r="4" spans="8:15" x14ac:dyDescent="0.2">
      <c r="H4" s="34">
        <v>2</v>
      </c>
      <c r="I4" s="608">
        <v>0</v>
      </c>
      <c r="J4" s="606">
        <v>1</v>
      </c>
      <c r="K4" s="607">
        <f t="shared" ref="K4:K9" si="4">1-SUM(I4:J4)</f>
        <v>0</v>
      </c>
      <c r="L4" s="606">
        <f t="shared" si="0"/>
        <v>0</v>
      </c>
      <c r="M4" s="606">
        <f t="shared" si="1"/>
        <v>0</v>
      </c>
      <c r="N4" s="606">
        <f t="shared" si="2"/>
        <v>0</v>
      </c>
      <c r="O4" s="605">
        <f t="shared" si="3"/>
        <v>0</v>
      </c>
    </row>
    <row r="5" spans="8:15" x14ac:dyDescent="0.2">
      <c r="H5" s="63">
        <v>3</v>
      </c>
      <c r="I5" s="612">
        <v>0</v>
      </c>
      <c r="J5" s="610">
        <v>0</v>
      </c>
      <c r="K5" s="611">
        <f t="shared" si="4"/>
        <v>1</v>
      </c>
      <c r="L5" s="610">
        <f t="shared" si="0"/>
        <v>0</v>
      </c>
      <c r="M5" s="610">
        <f t="shared" si="1"/>
        <v>0</v>
      </c>
      <c r="N5" s="610">
        <f t="shared" si="2"/>
        <v>0</v>
      </c>
      <c r="O5" s="609">
        <f t="shared" si="3"/>
        <v>0</v>
      </c>
    </row>
    <row r="6" spans="8:15" x14ac:dyDescent="0.2">
      <c r="H6" s="34">
        <v>12</v>
      </c>
      <c r="I6" s="608">
        <v>0.5</v>
      </c>
      <c r="J6" s="606">
        <v>0.5</v>
      </c>
      <c r="K6" s="607">
        <f t="shared" si="4"/>
        <v>0</v>
      </c>
      <c r="L6" s="606">
        <f t="shared" si="0"/>
        <v>0.25</v>
      </c>
      <c r="M6" s="606">
        <f t="shared" si="1"/>
        <v>0</v>
      </c>
      <c r="N6" s="606">
        <f t="shared" si="2"/>
        <v>0</v>
      </c>
      <c r="O6" s="605">
        <f t="shared" si="3"/>
        <v>0</v>
      </c>
    </row>
    <row r="7" spans="8:15" x14ac:dyDescent="0.2">
      <c r="H7" s="34">
        <v>13</v>
      </c>
      <c r="I7" s="608">
        <v>0.5</v>
      </c>
      <c r="J7" s="606">
        <v>0</v>
      </c>
      <c r="K7" s="607">
        <f t="shared" si="4"/>
        <v>0.5</v>
      </c>
      <c r="L7" s="606">
        <f t="shared" si="0"/>
        <v>0</v>
      </c>
      <c r="M7" s="606">
        <f t="shared" si="1"/>
        <v>0.25</v>
      </c>
      <c r="N7" s="606">
        <f t="shared" si="2"/>
        <v>0</v>
      </c>
      <c r="O7" s="605">
        <f t="shared" si="3"/>
        <v>0</v>
      </c>
    </row>
    <row r="8" spans="8:15" x14ac:dyDescent="0.2">
      <c r="H8" s="34">
        <v>23</v>
      </c>
      <c r="I8" s="608">
        <v>0</v>
      </c>
      <c r="J8" s="606">
        <v>0.5</v>
      </c>
      <c r="K8" s="607">
        <f t="shared" si="4"/>
        <v>0.5</v>
      </c>
      <c r="L8" s="606">
        <f t="shared" si="0"/>
        <v>0</v>
      </c>
      <c r="M8" s="606">
        <f t="shared" si="1"/>
        <v>0</v>
      </c>
      <c r="N8" s="606">
        <f t="shared" si="2"/>
        <v>0.25</v>
      </c>
      <c r="O8" s="605">
        <f t="shared" si="3"/>
        <v>0</v>
      </c>
    </row>
    <row r="9" spans="8:15" x14ac:dyDescent="0.2">
      <c r="H9" s="600">
        <v>123</v>
      </c>
      <c r="I9" s="604">
        <f>1/3</f>
        <v>0.33333333333333331</v>
      </c>
      <c r="J9" s="602">
        <f>1/3</f>
        <v>0.33333333333333331</v>
      </c>
      <c r="K9" s="603">
        <f t="shared" si="4"/>
        <v>0.33333333333333337</v>
      </c>
      <c r="L9" s="602">
        <f t="shared" si="0"/>
        <v>0.1111111111111111</v>
      </c>
      <c r="M9" s="602">
        <f t="shared" si="1"/>
        <v>0.11111111111111112</v>
      </c>
      <c r="N9" s="602">
        <f t="shared" si="2"/>
        <v>0.11111111111111112</v>
      </c>
      <c r="O9" s="601">
        <f t="shared" si="3"/>
        <v>3.7037037037037042E-2</v>
      </c>
    </row>
    <row r="10" spans="8:15" ht="18" x14ac:dyDescent="0.2">
      <c r="H10" s="69" t="s">
        <v>10</v>
      </c>
      <c r="I10" s="1461" t="s">
        <v>244</v>
      </c>
      <c r="J10" s="1331"/>
      <c r="K10" s="1331"/>
      <c r="L10" s="1462"/>
      <c r="M10" s="1462"/>
      <c r="N10" s="1462"/>
      <c r="O10" s="1463"/>
    </row>
    <row r="11" spans="8:15" x14ac:dyDescent="0.2">
      <c r="H11" s="38">
        <v>1</v>
      </c>
      <c r="I11" s="87">
        <f t="array" ref="I11:O17">MINVERSE(I3:O9)</f>
        <v>1</v>
      </c>
      <c r="J11" s="40">
        <v>0</v>
      </c>
      <c r="K11" s="41">
        <v>0</v>
      </c>
      <c r="L11" s="40">
        <v>0</v>
      </c>
      <c r="M11" s="40">
        <v>0</v>
      </c>
      <c r="N11" s="40">
        <v>0</v>
      </c>
      <c r="O11" s="39">
        <v>0</v>
      </c>
    </row>
    <row r="12" spans="8:15" x14ac:dyDescent="0.2">
      <c r="H12" s="34">
        <v>2</v>
      </c>
      <c r="I12" s="89">
        <v>0</v>
      </c>
      <c r="J12" s="94">
        <v>1</v>
      </c>
      <c r="K12" s="475">
        <v>0</v>
      </c>
      <c r="L12" s="94">
        <v>0</v>
      </c>
      <c r="M12" s="94">
        <v>0</v>
      </c>
      <c r="N12" s="94">
        <v>0</v>
      </c>
      <c r="O12" s="448">
        <v>0</v>
      </c>
    </row>
    <row r="13" spans="8:15" x14ac:dyDescent="0.2">
      <c r="H13" s="63">
        <v>3</v>
      </c>
      <c r="I13" s="75">
        <v>0</v>
      </c>
      <c r="J13" s="96">
        <v>0</v>
      </c>
      <c r="K13" s="97">
        <v>1</v>
      </c>
      <c r="L13" s="96">
        <v>0</v>
      </c>
      <c r="M13" s="96">
        <v>0</v>
      </c>
      <c r="N13" s="96">
        <v>0</v>
      </c>
      <c r="O13" s="95">
        <v>0</v>
      </c>
    </row>
    <row r="14" spans="8:15" x14ac:dyDescent="0.2">
      <c r="H14" s="34">
        <v>12</v>
      </c>
      <c r="I14" s="89">
        <v>-2</v>
      </c>
      <c r="J14" s="94">
        <v>-2</v>
      </c>
      <c r="K14" s="475">
        <v>0</v>
      </c>
      <c r="L14" s="94">
        <v>4</v>
      </c>
      <c r="M14" s="94">
        <v>0</v>
      </c>
      <c r="N14" s="94">
        <v>0</v>
      </c>
      <c r="O14" s="448">
        <v>0</v>
      </c>
    </row>
    <row r="15" spans="8:15" x14ac:dyDescent="0.2">
      <c r="H15" s="34">
        <v>13</v>
      </c>
      <c r="I15" s="89">
        <v>-2</v>
      </c>
      <c r="J15" s="94">
        <v>0</v>
      </c>
      <c r="K15" s="475">
        <v>-2</v>
      </c>
      <c r="L15" s="94">
        <v>0</v>
      </c>
      <c r="M15" s="94">
        <v>4</v>
      </c>
      <c r="N15" s="94">
        <v>0</v>
      </c>
      <c r="O15" s="448">
        <v>0</v>
      </c>
    </row>
    <row r="16" spans="8:15" x14ac:dyDescent="0.2">
      <c r="H16" s="34">
        <v>23</v>
      </c>
      <c r="I16" s="89">
        <v>0</v>
      </c>
      <c r="J16" s="94">
        <v>-2</v>
      </c>
      <c r="K16" s="475">
        <v>-2</v>
      </c>
      <c r="L16" s="94">
        <v>0</v>
      </c>
      <c r="M16" s="94">
        <v>0</v>
      </c>
      <c r="N16" s="94">
        <v>4</v>
      </c>
      <c r="O16" s="448">
        <v>0</v>
      </c>
    </row>
    <row r="17" spans="1:22" x14ac:dyDescent="0.2">
      <c r="H17" s="600">
        <v>123</v>
      </c>
      <c r="I17" s="137">
        <v>3</v>
      </c>
      <c r="J17" s="473">
        <v>3</v>
      </c>
      <c r="K17" s="474">
        <v>2.9999999999999996</v>
      </c>
      <c r="L17" s="473">
        <v>-11.999999999999998</v>
      </c>
      <c r="M17" s="473">
        <v>-12</v>
      </c>
      <c r="N17" s="473">
        <v>-12</v>
      </c>
      <c r="O17" s="452">
        <v>26.999999999999996</v>
      </c>
    </row>
    <row r="18" spans="1:22" x14ac:dyDescent="0.2">
      <c r="A18"/>
      <c r="B18" s="1357" t="s">
        <v>247</v>
      </c>
      <c r="C18" s="1346"/>
      <c r="D18" s="1346"/>
      <c r="E18" s="1459"/>
      <c r="F18" s="1459"/>
      <c r="G18" s="1459"/>
      <c r="H18" s="1459"/>
      <c r="I18" s="1459"/>
      <c r="J18" s="1459"/>
      <c r="K18" s="1460"/>
      <c r="L18"/>
      <c r="M18" s="1357" t="s">
        <v>246</v>
      </c>
      <c r="N18" s="1346"/>
      <c r="O18" s="1346"/>
      <c r="P18" s="1459"/>
      <c r="Q18" s="1459"/>
      <c r="R18" s="1459"/>
      <c r="S18" s="1459"/>
      <c r="T18" s="1459"/>
      <c r="U18" s="1459"/>
      <c r="V18" s="1460"/>
    </row>
    <row r="19" spans="1:22" ht="18" x14ac:dyDescent="0.2">
      <c r="A19" s="130" t="s">
        <v>10</v>
      </c>
      <c r="B19" s="464">
        <v>1</v>
      </c>
      <c r="C19" s="464">
        <v>2</v>
      </c>
      <c r="D19" s="464">
        <v>3</v>
      </c>
      <c r="E19" s="69">
        <v>112</v>
      </c>
      <c r="F19" s="71">
        <v>113</v>
      </c>
      <c r="G19" s="71">
        <v>122</v>
      </c>
      <c r="H19" s="130">
        <v>123</v>
      </c>
      <c r="I19" s="599">
        <v>133</v>
      </c>
      <c r="J19" s="599">
        <v>223</v>
      </c>
      <c r="K19" s="598">
        <v>233</v>
      </c>
      <c r="L19" s="130" t="s">
        <v>10</v>
      </c>
      <c r="M19" s="71">
        <v>1</v>
      </c>
      <c r="N19" s="71">
        <v>2</v>
      </c>
      <c r="O19" s="71">
        <v>3</v>
      </c>
      <c r="P19" s="69">
        <v>12</v>
      </c>
      <c r="Q19" s="71">
        <v>13</v>
      </c>
      <c r="R19" s="70">
        <v>23</v>
      </c>
      <c r="S19" s="504">
        <v>1123</v>
      </c>
      <c r="T19" s="599">
        <v>1223</v>
      </c>
      <c r="U19" s="598">
        <v>1233</v>
      </c>
      <c r="V19" s="598" t="s">
        <v>245</v>
      </c>
    </row>
    <row r="20" spans="1:22" x14ac:dyDescent="0.2">
      <c r="A20" s="554">
        <v>1</v>
      </c>
      <c r="B20" s="572">
        <v>1</v>
      </c>
      <c r="C20" s="572">
        <v>0</v>
      </c>
      <c r="D20" s="572">
        <f t="shared" ref="D20:D29" si="5">1-B20-C20</f>
        <v>0</v>
      </c>
      <c r="E20" s="580">
        <f t="shared" ref="E20:E29" si="6">B20^2*C20</f>
        <v>0</v>
      </c>
      <c r="F20" s="578">
        <f t="shared" ref="F20:F29" si="7">B20^2*D20</f>
        <v>0</v>
      </c>
      <c r="G20" s="578">
        <f t="shared" ref="G20:G29" si="8">B20*C20^2</f>
        <v>0</v>
      </c>
      <c r="H20" s="579">
        <f t="shared" ref="H20:H29" si="9">PRODUCT(B20:D20)</f>
        <v>0</v>
      </c>
      <c r="I20" s="578">
        <f t="shared" ref="I20:I29" si="10">B20*D20^2</f>
        <v>0</v>
      </c>
      <c r="J20" s="578">
        <f t="shared" ref="J20:J29" si="11">C20^2*D20</f>
        <v>0</v>
      </c>
      <c r="K20" s="577">
        <f t="shared" ref="K20:K29" si="12">C20*D20^2</f>
        <v>0</v>
      </c>
      <c r="L20" s="554">
        <v>1</v>
      </c>
      <c r="M20" s="594">
        <v>1</v>
      </c>
      <c r="N20" s="594">
        <v>0</v>
      </c>
      <c r="O20" s="594">
        <v>0</v>
      </c>
      <c r="P20" s="595">
        <f t="shared" ref="P20:P29" si="13">M20*N20</f>
        <v>0</v>
      </c>
      <c r="Q20" s="594">
        <f t="shared" ref="Q20:Q29" si="14">M20*O20</f>
        <v>0</v>
      </c>
      <c r="R20" s="593">
        <f t="shared" ref="R20:R29" si="15">N20*O20</f>
        <v>0</v>
      </c>
      <c r="S20" s="595">
        <f t="shared" ref="S20:S29" si="16">M20^2*N20*O20</f>
        <v>0</v>
      </c>
      <c r="T20" s="594">
        <f t="shared" ref="T20:T29" si="17">M20*N20^2*O20</f>
        <v>0</v>
      </c>
      <c r="U20" s="593">
        <f t="shared" ref="U20:U29" si="18">M20*N20*O20^2</f>
        <v>0</v>
      </c>
      <c r="V20" s="577">
        <f t="shared" ref="V20:V29" si="19">PRODUCT(M20:O20)^2</f>
        <v>0</v>
      </c>
    </row>
    <row r="21" spans="1:22" x14ac:dyDescent="0.2">
      <c r="A21" s="553">
        <v>2</v>
      </c>
      <c r="B21" s="572">
        <v>0</v>
      </c>
      <c r="C21" s="572">
        <f>1</f>
        <v>1</v>
      </c>
      <c r="D21" s="572">
        <f t="shared" si="5"/>
        <v>0</v>
      </c>
      <c r="E21" s="571">
        <f t="shared" si="6"/>
        <v>0</v>
      </c>
      <c r="F21" s="569">
        <f t="shared" si="7"/>
        <v>0</v>
      </c>
      <c r="G21" s="569">
        <f t="shared" si="8"/>
        <v>0</v>
      </c>
      <c r="H21" s="570">
        <f t="shared" si="9"/>
        <v>0</v>
      </c>
      <c r="I21" s="569">
        <f t="shared" si="10"/>
        <v>0</v>
      </c>
      <c r="J21" s="569">
        <f t="shared" si="11"/>
        <v>0</v>
      </c>
      <c r="K21" s="568">
        <f t="shared" si="12"/>
        <v>0</v>
      </c>
      <c r="L21" s="553">
        <v>2</v>
      </c>
      <c r="M21" s="591">
        <v>0</v>
      </c>
      <c r="N21" s="591">
        <v>1</v>
      </c>
      <c r="O21" s="591">
        <v>0</v>
      </c>
      <c r="P21" s="592">
        <f t="shared" si="13"/>
        <v>0</v>
      </c>
      <c r="Q21" s="591">
        <f t="shared" si="14"/>
        <v>0</v>
      </c>
      <c r="R21" s="590">
        <f t="shared" si="15"/>
        <v>0</v>
      </c>
      <c r="S21" s="592">
        <f t="shared" si="16"/>
        <v>0</v>
      </c>
      <c r="T21" s="591">
        <f t="shared" si="17"/>
        <v>0</v>
      </c>
      <c r="U21" s="590">
        <f t="shared" si="18"/>
        <v>0</v>
      </c>
      <c r="V21" s="568">
        <f t="shared" si="19"/>
        <v>0</v>
      </c>
    </row>
    <row r="22" spans="1:22" x14ac:dyDescent="0.2">
      <c r="A22" s="552">
        <v>3</v>
      </c>
      <c r="B22" s="566">
        <v>0</v>
      </c>
      <c r="C22" s="566">
        <v>0</v>
      </c>
      <c r="D22" s="566">
        <f t="shared" si="5"/>
        <v>1</v>
      </c>
      <c r="E22" s="571">
        <f t="shared" si="6"/>
        <v>0</v>
      </c>
      <c r="F22" s="569">
        <f t="shared" si="7"/>
        <v>0</v>
      </c>
      <c r="G22" s="569">
        <f t="shared" si="8"/>
        <v>0</v>
      </c>
      <c r="H22" s="570">
        <f t="shared" si="9"/>
        <v>0</v>
      </c>
      <c r="I22" s="569">
        <f t="shared" si="10"/>
        <v>0</v>
      </c>
      <c r="J22" s="569">
        <f t="shared" si="11"/>
        <v>0</v>
      </c>
      <c r="K22" s="568">
        <f t="shared" si="12"/>
        <v>0</v>
      </c>
      <c r="L22" s="552">
        <v>3</v>
      </c>
      <c r="M22" s="591">
        <v>0</v>
      </c>
      <c r="N22" s="591">
        <v>0</v>
      </c>
      <c r="O22" s="591">
        <v>1</v>
      </c>
      <c r="P22" s="592">
        <f t="shared" si="13"/>
        <v>0</v>
      </c>
      <c r="Q22" s="591">
        <f t="shared" si="14"/>
        <v>0</v>
      </c>
      <c r="R22" s="590">
        <f t="shared" si="15"/>
        <v>0</v>
      </c>
      <c r="S22" s="588">
        <f t="shared" si="16"/>
        <v>0</v>
      </c>
      <c r="T22" s="587">
        <f t="shared" si="17"/>
        <v>0</v>
      </c>
      <c r="U22" s="586">
        <f t="shared" si="18"/>
        <v>0</v>
      </c>
      <c r="V22" s="568">
        <f t="shared" si="19"/>
        <v>0</v>
      </c>
    </row>
    <row r="23" spans="1:22" x14ac:dyDescent="0.2">
      <c r="A23" s="553">
        <v>112</v>
      </c>
      <c r="B23" s="572">
        <f>2/3</f>
        <v>0.66666666666666663</v>
      </c>
      <c r="C23" s="572">
        <f>1/3</f>
        <v>0.33333333333333331</v>
      </c>
      <c r="D23" s="572">
        <f t="shared" si="5"/>
        <v>0</v>
      </c>
      <c r="E23" s="580">
        <f t="shared" si="6"/>
        <v>0.14814814814814814</v>
      </c>
      <c r="F23" s="578">
        <f t="shared" si="7"/>
        <v>0</v>
      </c>
      <c r="G23" s="578">
        <f t="shared" si="8"/>
        <v>7.407407407407407E-2</v>
      </c>
      <c r="H23" s="579">
        <f t="shared" si="9"/>
        <v>0</v>
      </c>
      <c r="I23" s="578">
        <f t="shared" si="10"/>
        <v>0</v>
      </c>
      <c r="J23" s="578">
        <f t="shared" si="11"/>
        <v>0</v>
      </c>
      <c r="K23" s="577">
        <f t="shared" si="12"/>
        <v>0</v>
      </c>
      <c r="L23" s="553">
        <v>12</v>
      </c>
      <c r="M23" s="596">
        <v>0.5</v>
      </c>
      <c r="N23" s="596">
        <v>0.5</v>
      </c>
      <c r="O23" s="594">
        <v>0</v>
      </c>
      <c r="P23" s="597">
        <f t="shared" si="13"/>
        <v>0.25</v>
      </c>
      <c r="Q23" s="596">
        <f t="shared" si="14"/>
        <v>0</v>
      </c>
      <c r="R23" s="593">
        <f t="shared" si="15"/>
        <v>0</v>
      </c>
      <c r="S23" s="595">
        <f t="shared" si="16"/>
        <v>0</v>
      </c>
      <c r="T23" s="594">
        <f t="shared" si="17"/>
        <v>0</v>
      </c>
      <c r="U23" s="593">
        <f t="shared" si="18"/>
        <v>0</v>
      </c>
      <c r="V23" s="577">
        <f t="shared" si="19"/>
        <v>0</v>
      </c>
    </row>
    <row r="24" spans="1:22" x14ac:dyDescent="0.2">
      <c r="A24" s="553">
        <v>113</v>
      </c>
      <c r="B24" s="572">
        <f>2/3</f>
        <v>0.66666666666666663</v>
      </c>
      <c r="C24" s="572">
        <v>0</v>
      </c>
      <c r="D24" s="572">
        <f t="shared" si="5"/>
        <v>0.33333333333333337</v>
      </c>
      <c r="E24" s="571">
        <f t="shared" si="6"/>
        <v>0</v>
      </c>
      <c r="F24" s="569">
        <f t="shared" si="7"/>
        <v>0.14814814814814817</v>
      </c>
      <c r="G24" s="569">
        <f t="shared" si="8"/>
        <v>0</v>
      </c>
      <c r="H24" s="570">
        <f t="shared" si="9"/>
        <v>0</v>
      </c>
      <c r="I24" s="569">
        <f t="shared" si="10"/>
        <v>7.4074074074074084E-2</v>
      </c>
      <c r="J24" s="569">
        <f t="shared" si="11"/>
        <v>0</v>
      </c>
      <c r="K24" s="568">
        <f t="shared" si="12"/>
        <v>0</v>
      </c>
      <c r="L24" s="553">
        <v>13</v>
      </c>
      <c r="M24" s="572">
        <v>0.5</v>
      </c>
      <c r="N24" s="591">
        <v>0</v>
      </c>
      <c r="O24" s="572">
        <v>0.5</v>
      </c>
      <c r="P24" s="592">
        <f t="shared" si="13"/>
        <v>0</v>
      </c>
      <c r="Q24" s="572">
        <f t="shared" si="14"/>
        <v>0.25</v>
      </c>
      <c r="R24" s="590">
        <f t="shared" si="15"/>
        <v>0</v>
      </c>
      <c r="S24" s="592">
        <f t="shared" si="16"/>
        <v>0</v>
      </c>
      <c r="T24" s="591">
        <f t="shared" si="17"/>
        <v>0</v>
      </c>
      <c r="U24" s="590">
        <f t="shared" si="18"/>
        <v>0</v>
      </c>
      <c r="V24" s="568">
        <f t="shared" si="19"/>
        <v>0</v>
      </c>
    </row>
    <row r="25" spans="1:22" x14ac:dyDescent="0.2">
      <c r="A25" s="553">
        <v>122</v>
      </c>
      <c r="B25" s="572">
        <f>1/3</f>
        <v>0.33333333333333331</v>
      </c>
      <c r="C25" s="572">
        <v>0.66666666666666663</v>
      </c>
      <c r="D25" s="572">
        <f t="shared" si="5"/>
        <v>0</v>
      </c>
      <c r="E25" s="565">
        <f t="shared" si="6"/>
        <v>7.407407407407407E-2</v>
      </c>
      <c r="F25" s="559">
        <f t="shared" si="7"/>
        <v>0</v>
      </c>
      <c r="G25" s="559">
        <f t="shared" si="8"/>
        <v>0.14814814814814814</v>
      </c>
      <c r="H25" s="564">
        <f t="shared" si="9"/>
        <v>0</v>
      </c>
      <c r="I25" s="559">
        <f t="shared" si="10"/>
        <v>0</v>
      </c>
      <c r="J25" s="559">
        <f t="shared" si="11"/>
        <v>0</v>
      </c>
      <c r="K25" s="563">
        <f t="shared" si="12"/>
        <v>0</v>
      </c>
      <c r="L25" s="553">
        <v>23</v>
      </c>
      <c r="M25" s="587">
        <v>0</v>
      </c>
      <c r="N25" s="566">
        <v>0.5</v>
      </c>
      <c r="O25" s="566">
        <v>0.5</v>
      </c>
      <c r="P25" s="588">
        <f t="shared" si="13"/>
        <v>0</v>
      </c>
      <c r="Q25" s="587">
        <f t="shared" si="14"/>
        <v>0</v>
      </c>
      <c r="R25" s="589">
        <f t="shared" si="15"/>
        <v>0.25</v>
      </c>
      <c r="S25" s="588">
        <f t="shared" si="16"/>
        <v>0</v>
      </c>
      <c r="T25" s="587">
        <f t="shared" si="17"/>
        <v>0</v>
      </c>
      <c r="U25" s="586">
        <f t="shared" si="18"/>
        <v>0</v>
      </c>
      <c r="V25" s="563">
        <f t="shared" si="19"/>
        <v>0</v>
      </c>
    </row>
    <row r="26" spans="1:22" x14ac:dyDescent="0.2">
      <c r="A26" s="555">
        <v>123</v>
      </c>
      <c r="B26" s="585">
        <f>1/3</f>
        <v>0.33333333333333331</v>
      </c>
      <c r="C26" s="585">
        <f>1/3</f>
        <v>0.33333333333333331</v>
      </c>
      <c r="D26" s="585">
        <f t="shared" si="5"/>
        <v>0.33333333333333343</v>
      </c>
      <c r="E26" s="571">
        <f t="shared" si="6"/>
        <v>3.7037037037037035E-2</v>
      </c>
      <c r="F26" s="569">
        <f t="shared" si="7"/>
        <v>3.7037037037037042E-2</v>
      </c>
      <c r="G26" s="569">
        <f t="shared" si="8"/>
        <v>3.7037037037037035E-2</v>
      </c>
      <c r="H26" s="570">
        <f t="shared" si="9"/>
        <v>3.7037037037037042E-2</v>
      </c>
      <c r="I26" s="569">
        <f t="shared" si="10"/>
        <v>3.7037037037037056E-2</v>
      </c>
      <c r="J26" s="569">
        <f t="shared" si="11"/>
        <v>3.7037037037037042E-2</v>
      </c>
      <c r="K26" s="568">
        <f t="shared" si="12"/>
        <v>3.7037037037037056E-2</v>
      </c>
      <c r="L26" s="554">
        <v>1123</v>
      </c>
      <c r="M26" s="583">
        <f>2/3</f>
        <v>0.66666666666666663</v>
      </c>
      <c r="N26" s="583">
        <f>1/6</f>
        <v>0.16666666666666666</v>
      </c>
      <c r="O26" s="583">
        <f>1/6</f>
        <v>0.16666666666666666</v>
      </c>
      <c r="P26" s="584">
        <f t="shared" si="13"/>
        <v>0.1111111111111111</v>
      </c>
      <c r="Q26" s="583">
        <f t="shared" si="14"/>
        <v>0.1111111111111111</v>
      </c>
      <c r="R26" s="583">
        <f t="shared" si="15"/>
        <v>2.7777777777777776E-2</v>
      </c>
      <c r="S26" s="584">
        <f t="shared" si="16"/>
        <v>1.2345679012345678E-2</v>
      </c>
      <c r="T26" s="583">
        <f t="shared" si="17"/>
        <v>3.0864197530864196E-3</v>
      </c>
      <c r="U26" s="582">
        <f t="shared" si="18"/>
        <v>3.0864197530864196E-3</v>
      </c>
      <c r="V26" s="581">
        <f t="shared" si="19"/>
        <v>3.4293552812071328E-4</v>
      </c>
    </row>
    <row r="27" spans="1:22" x14ac:dyDescent="0.2">
      <c r="A27" s="553">
        <v>133</v>
      </c>
      <c r="B27" s="572">
        <f>1/3</f>
        <v>0.33333333333333331</v>
      </c>
      <c r="C27" s="572">
        <v>0</v>
      </c>
      <c r="D27" s="572">
        <f t="shared" si="5"/>
        <v>0.66666666666666674</v>
      </c>
      <c r="E27" s="580">
        <f t="shared" si="6"/>
        <v>0</v>
      </c>
      <c r="F27" s="578">
        <f t="shared" si="7"/>
        <v>7.4074074074074084E-2</v>
      </c>
      <c r="G27" s="578">
        <f t="shared" si="8"/>
        <v>0</v>
      </c>
      <c r="H27" s="579">
        <f t="shared" si="9"/>
        <v>0</v>
      </c>
      <c r="I27" s="578">
        <f t="shared" si="10"/>
        <v>0.14814814814814817</v>
      </c>
      <c r="J27" s="578">
        <f t="shared" si="11"/>
        <v>0</v>
      </c>
      <c r="K27" s="577">
        <f t="shared" si="12"/>
        <v>0</v>
      </c>
      <c r="L27" s="553">
        <v>1223</v>
      </c>
      <c r="M27" s="576">
        <f>1/6</f>
        <v>0.16666666666666666</v>
      </c>
      <c r="N27" s="575">
        <f>2/3</f>
        <v>0.66666666666666663</v>
      </c>
      <c r="O27" s="575">
        <f>1/6</f>
        <v>0.16666666666666666</v>
      </c>
      <c r="P27" s="576">
        <f t="shared" si="13"/>
        <v>0.1111111111111111</v>
      </c>
      <c r="Q27" s="575">
        <f t="shared" si="14"/>
        <v>2.7777777777777776E-2</v>
      </c>
      <c r="R27" s="574">
        <f t="shared" si="15"/>
        <v>0.1111111111111111</v>
      </c>
      <c r="S27" s="576">
        <f t="shared" si="16"/>
        <v>3.0864197530864196E-3</v>
      </c>
      <c r="T27" s="575">
        <f t="shared" si="17"/>
        <v>1.2345679012345678E-2</v>
      </c>
      <c r="U27" s="574">
        <f t="shared" si="18"/>
        <v>3.0864197530864196E-3</v>
      </c>
      <c r="V27" s="573">
        <f t="shared" si="19"/>
        <v>3.4293552812071328E-4</v>
      </c>
    </row>
    <row r="28" spans="1:22" x14ac:dyDescent="0.2">
      <c r="A28" s="553">
        <v>223</v>
      </c>
      <c r="B28" s="572">
        <v>0</v>
      </c>
      <c r="C28" s="572">
        <f>2/3</f>
        <v>0.66666666666666663</v>
      </c>
      <c r="D28" s="572">
        <f t="shared" si="5"/>
        <v>0.33333333333333337</v>
      </c>
      <c r="E28" s="571">
        <f t="shared" si="6"/>
        <v>0</v>
      </c>
      <c r="F28" s="569">
        <f t="shared" si="7"/>
        <v>0</v>
      </c>
      <c r="G28" s="569">
        <f t="shared" si="8"/>
        <v>0</v>
      </c>
      <c r="H28" s="570">
        <f t="shared" si="9"/>
        <v>0</v>
      </c>
      <c r="I28" s="569">
        <f t="shared" si="10"/>
        <v>0</v>
      </c>
      <c r="J28" s="569">
        <f t="shared" si="11"/>
        <v>0.14814814814814817</v>
      </c>
      <c r="K28" s="568">
        <f t="shared" si="12"/>
        <v>7.4074074074074084E-2</v>
      </c>
      <c r="L28" s="552">
        <v>1233</v>
      </c>
      <c r="M28" s="562">
        <f>1/6</f>
        <v>0.16666666666666666</v>
      </c>
      <c r="N28" s="561">
        <f>1/6</f>
        <v>0.16666666666666666</v>
      </c>
      <c r="O28" s="561">
        <f>2/3</f>
        <v>0.66666666666666663</v>
      </c>
      <c r="P28" s="562">
        <f t="shared" si="13"/>
        <v>2.7777777777777776E-2</v>
      </c>
      <c r="Q28" s="561">
        <f t="shared" si="14"/>
        <v>0.1111111111111111</v>
      </c>
      <c r="R28" s="560">
        <f t="shared" si="15"/>
        <v>0.1111111111111111</v>
      </c>
      <c r="S28" s="562">
        <f t="shared" si="16"/>
        <v>3.0864197530864196E-3</v>
      </c>
      <c r="T28" s="561">
        <f t="shared" si="17"/>
        <v>3.0864197530864196E-3</v>
      </c>
      <c r="U28" s="560">
        <f t="shared" si="18"/>
        <v>1.2345679012345678E-2</v>
      </c>
      <c r="V28" s="567">
        <f t="shared" si="19"/>
        <v>3.4293552812071328E-4</v>
      </c>
    </row>
    <row r="29" spans="1:22" ht="18" x14ac:dyDescent="0.2">
      <c r="A29" s="552">
        <v>233</v>
      </c>
      <c r="B29" s="566">
        <v>0</v>
      </c>
      <c r="C29" s="566">
        <f>1/3</f>
        <v>0.33333333333333331</v>
      </c>
      <c r="D29" s="566">
        <f t="shared" si="5"/>
        <v>0.66666666666666674</v>
      </c>
      <c r="E29" s="565">
        <f t="shared" si="6"/>
        <v>0</v>
      </c>
      <c r="F29" s="559">
        <f t="shared" si="7"/>
        <v>0</v>
      </c>
      <c r="G29" s="559">
        <f t="shared" si="8"/>
        <v>0</v>
      </c>
      <c r="H29" s="564">
        <f t="shared" si="9"/>
        <v>0</v>
      </c>
      <c r="I29" s="559">
        <f t="shared" si="10"/>
        <v>0</v>
      </c>
      <c r="J29" s="559">
        <f t="shared" si="11"/>
        <v>7.4074074074074084E-2</v>
      </c>
      <c r="K29" s="563">
        <f t="shared" si="12"/>
        <v>0.14814814814814817</v>
      </c>
      <c r="L29" s="552" t="s">
        <v>243</v>
      </c>
      <c r="M29" s="562">
        <f>1/3</f>
        <v>0.33333333333333331</v>
      </c>
      <c r="N29" s="561">
        <f>1/3</f>
        <v>0.33333333333333331</v>
      </c>
      <c r="O29" s="561">
        <f>1/3</f>
        <v>0.33333333333333331</v>
      </c>
      <c r="P29" s="562">
        <f t="shared" si="13"/>
        <v>0.1111111111111111</v>
      </c>
      <c r="Q29" s="561">
        <f t="shared" si="14"/>
        <v>0.1111111111111111</v>
      </c>
      <c r="R29" s="560">
        <f t="shared" si="15"/>
        <v>0.1111111111111111</v>
      </c>
      <c r="S29" s="562">
        <f t="shared" si="16"/>
        <v>1.2345679012345678E-2</v>
      </c>
      <c r="T29" s="561">
        <f t="shared" si="17"/>
        <v>1.2345679012345678E-2</v>
      </c>
      <c r="U29" s="560">
        <f t="shared" si="18"/>
        <v>1.2345679012345678E-2</v>
      </c>
      <c r="V29" s="559">
        <f t="shared" si="19"/>
        <v>1.3717421124828531E-3</v>
      </c>
    </row>
    <row r="30" spans="1:22" ht="18" x14ac:dyDescent="0.2">
      <c r="A30" s="130" t="s">
        <v>10</v>
      </c>
      <c r="B30" s="1357" t="s">
        <v>244</v>
      </c>
      <c r="C30" s="1346"/>
      <c r="D30" s="1346"/>
      <c r="E30" s="1464"/>
      <c r="F30" s="1464"/>
      <c r="G30" s="1464"/>
      <c r="H30" s="1464"/>
      <c r="I30" s="1464"/>
      <c r="J30" s="1464"/>
      <c r="K30" s="1465"/>
      <c r="L30" s="130" t="s">
        <v>10</v>
      </c>
      <c r="M30" s="1357" t="s">
        <v>244</v>
      </c>
      <c r="N30" s="1346"/>
      <c r="O30" s="1346"/>
      <c r="P30" s="1459"/>
      <c r="Q30" s="1459"/>
      <c r="R30" s="1459"/>
      <c r="S30" s="1459"/>
      <c r="T30" s="1459"/>
      <c r="U30" s="1459"/>
      <c r="V30" s="1460"/>
    </row>
    <row r="31" spans="1:22" x14ac:dyDescent="0.2">
      <c r="A31" s="554">
        <v>1</v>
      </c>
      <c r="B31" s="87">
        <f t="array" ref="B31:K40">MINVERSE(B20:K29)</f>
        <v>1</v>
      </c>
      <c r="C31" s="40">
        <v>0</v>
      </c>
      <c r="D31" s="41">
        <v>0</v>
      </c>
      <c r="E31" s="40">
        <v>0</v>
      </c>
      <c r="F31" s="40">
        <v>0</v>
      </c>
      <c r="G31" s="40">
        <v>0</v>
      </c>
      <c r="H31" s="39">
        <v>0</v>
      </c>
      <c r="I31" s="558">
        <v>0</v>
      </c>
      <c r="J31" s="557">
        <v>0</v>
      </c>
      <c r="K31" s="556">
        <v>0</v>
      </c>
      <c r="L31" s="554">
        <v>1</v>
      </c>
      <c r="M31" s="87">
        <f t="array" ref="M31:V40">MINVERSE(Z_SA)</f>
        <v>1</v>
      </c>
      <c r="N31" s="40">
        <v>0</v>
      </c>
      <c r="O31" s="41">
        <v>0</v>
      </c>
      <c r="P31" s="40">
        <v>0</v>
      </c>
      <c r="Q31" s="40">
        <v>0</v>
      </c>
      <c r="R31" s="40">
        <v>0</v>
      </c>
      <c r="S31" s="39">
        <v>0</v>
      </c>
      <c r="T31" s="558">
        <v>0</v>
      </c>
      <c r="U31" s="557">
        <v>0</v>
      </c>
      <c r="V31" s="556">
        <v>0</v>
      </c>
    </row>
    <row r="32" spans="1:22" x14ac:dyDescent="0.2">
      <c r="A32" s="553">
        <v>2</v>
      </c>
      <c r="B32" s="89">
        <v>0</v>
      </c>
      <c r="C32" s="94">
        <v>1</v>
      </c>
      <c r="D32" s="475">
        <v>0</v>
      </c>
      <c r="E32" s="94">
        <v>0</v>
      </c>
      <c r="F32" s="94">
        <v>0</v>
      </c>
      <c r="G32" s="94">
        <v>0</v>
      </c>
      <c r="H32" s="448">
        <v>0</v>
      </c>
      <c r="I32" s="89">
        <v>0</v>
      </c>
      <c r="J32" s="94">
        <v>0</v>
      </c>
      <c r="K32" s="475">
        <v>0</v>
      </c>
      <c r="L32" s="553">
        <v>2</v>
      </c>
      <c r="M32" s="89">
        <v>0</v>
      </c>
      <c r="N32" s="94">
        <v>1</v>
      </c>
      <c r="O32" s="475">
        <v>0</v>
      </c>
      <c r="P32" s="94">
        <v>0</v>
      </c>
      <c r="Q32" s="94">
        <v>0</v>
      </c>
      <c r="R32" s="94">
        <v>0</v>
      </c>
      <c r="S32" s="448">
        <v>0</v>
      </c>
      <c r="T32" s="89">
        <v>0</v>
      </c>
      <c r="U32" s="94">
        <v>0</v>
      </c>
      <c r="V32" s="475">
        <v>0</v>
      </c>
    </row>
    <row r="33" spans="1:22" x14ac:dyDescent="0.2">
      <c r="A33" s="552">
        <v>3</v>
      </c>
      <c r="B33" s="89">
        <v>0</v>
      </c>
      <c r="C33" s="94">
        <v>0</v>
      </c>
      <c r="D33" s="475">
        <v>1</v>
      </c>
      <c r="E33" s="96">
        <v>0</v>
      </c>
      <c r="F33" s="96">
        <v>0</v>
      </c>
      <c r="G33" s="96">
        <v>0</v>
      </c>
      <c r="H33" s="95">
        <v>0</v>
      </c>
      <c r="I33" s="75">
        <v>0</v>
      </c>
      <c r="J33" s="96">
        <v>0</v>
      </c>
      <c r="K33" s="97">
        <v>0</v>
      </c>
      <c r="L33" s="552">
        <v>3</v>
      </c>
      <c r="M33" s="89">
        <v>0</v>
      </c>
      <c r="N33" s="94">
        <v>0</v>
      </c>
      <c r="O33" s="475">
        <v>1</v>
      </c>
      <c r="P33" s="96">
        <v>0</v>
      </c>
      <c r="Q33" s="96">
        <v>0</v>
      </c>
      <c r="R33" s="96">
        <v>0</v>
      </c>
      <c r="S33" s="95">
        <v>0</v>
      </c>
      <c r="T33" s="75">
        <v>0</v>
      </c>
      <c r="U33" s="96">
        <v>0</v>
      </c>
      <c r="V33" s="97">
        <v>0</v>
      </c>
    </row>
    <row r="34" spans="1:22" x14ac:dyDescent="0.2">
      <c r="A34" s="553">
        <v>112</v>
      </c>
      <c r="B34" s="87">
        <v>-4.5</v>
      </c>
      <c r="C34" s="40">
        <v>0</v>
      </c>
      <c r="D34" s="41">
        <v>0</v>
      </c>
      <c r="E34" s="94">
        <v>9</v>
      </c>
      <c r="F34" s="94">
        <v>0</v>
      </c>
      <c r="G34" s="94">
        <v>-4.5</v>
      </c>
      <c r="H34" s="448">
        <v>0</v>
      </c>
      <c r="I34" s="87">
        <v>0</v>
      </c>
      <c r="J34" s="40">
        <v>0</v>
      </c>
      <c r="K34" s="41">
        <v>0</v>
      </c>
      <c r="L34" s="553">
        <v>12</v>
      </c>
      <c r="M34" s="87">
        <v>-2</v>
      </c>
      <c r="N34" s="40">
        <v>-2</v>
      </c>
      <c r="O34" s="41">
        <v>0</v>
      </c>
      <c r="P34" s="94">
        <v>4</v>
      </c>
      <c r="Q34" s="94">
        <v>0</v>
      </c>
      <c r="R34" s="94">
        <v>0</v>
      </c>
      <c r="S34" s="448">
        <v>0</v>
      </c>
      <c r="T34" s="87">
        <v>0</v>
      </c>
      <c r="U34" s="40">
        <v>0</v>
      </c>
      <c r="V34" s="41">
        <v>0</v>
      </c>
    </row>
    <row r="35" spans="1:22" x14ac:dyDescent="0.2">
      <c r="A35" s="553">
        <v>113</v>
      </c>
      <c r="B35" s="89">
        <v>-4.4999999999999991</v>
      </c>
      <c r="C35" s="94">
        <v>0</v>
      </c>
      <c r="D35" s="475">
        <v>-3.7470027081099028E-16</v>
      </c>
      <c r="E35" s="94">
        <v>0</v>
      </c>
      <c r="F35" s="94">
        <v>8.9999999999999982</v>
      </c>
      <c r="G35" s="94">
        <v>0</v>
      </c>
      <c r="H35" s="448">
        <v>0</v>
      </c>
      <c r="I35" s="89">
        <v>-4.4999999999999991</v>
      </c>
      <c r="J35" s="94">
        <v>0</v>
      </c>
      <c r="K35" s="475">
        <v>0</v>
      </c>
      <c r="L35" s="553">
        <v>13</v>
      </c>
      <c r="M35" s="89">
        <v>-2</v>
      </c>
      <c r="N35" s="94">
        <v>0</v>
      </c>
      <c r="O35" s="475">
        <v>-2</v>
      </c>
      <c r="P35" s="94">
        <v>0</v>
      </c>
      <c r="Q35" s="94">
        <v>4</v>
      </c>
      <c r="R35" s="94">
        <v>0</v>
      </c>
      <c r="S35" s="448">
        <v>0</v>
      </c>
      <c r="T35" s="89">
        <v>0</v>
      </c>
      <c r="U35" s="94">
        <v>0</v>
      </c>
      <c r="V35" s="475">
        <v>0</v>
      </c>
    </row>
    <row r="36" spans="1:22" x14ac:dyDescent="0.2">
      <c r="A36" s="553">
        <v>122</v>
      </c>
      <c r="B36" s="89">
        <v>0</v>
      </c>
      <c r="C36" s="94">
        <v>-4.5</v>
      </c>
      <c r="D36" s="475">
        <v>0</v>
      </c>
      <c r="E36" s="94">
        <v>-4.5</v>
      </c>
      <c r="F36" s="94">
        <v>0</v>
      </c>
      <c r="G36" s="94">
        <v>9</v>
      </c>
      <c r="H36" s="448">
        <v>0</v>
      </c>
      <c r="I36" s="75">
        <v>0</v>
      </c>
      <c r="J36" s="96">
        <v>0</v>
      </c>
      <c r="K36" s="97">
        <v>0</v>
      </c>
      <c r="L36" s="553">
        <v>23</v>
      </c>
      <c r="M36" s="89">
        <v>0</v>
      </c>
      <c r="N36" s="94">
        <v>-2</v>
      </c>
      <c r="O36" s="475">
        <v>-2</v>
      </c>
      <c r="P36" s="94">
        <v>0</v>
      </c>
      <c r="Q36" s="94">
        <v>0</v>
      </c>
      <c r="R36" s="94">
        <v>4</v>
      </c>
      <c r="S36" s="448">
        <v>0</v>
      </c>
      <c r="T36" s="75">
        <v>0</v>
      </c>
      <c r="U36" s="96">
        <v>0</v>
      </c>
      <c r="V36" s="97">
        <v>0</v>
      </c>
    </row>
    <row r="37" spans="1:22" x14ac:dyDescent="0.2">
      <c r="A37" s="555">
        <v>123</v>
      </c>
      <c r="B37" s="137">
        <v>0</v>
      </c>
      <c r="C37" s="473">
        <v>-7.4940054162198057E-16</v>
      </c>
      <c r="D37" s="474">
        <v>-7.4940054162198057E-16</v>
      </c>
      <c r="E37" s="473">
        <v>-4.5</v>
      </c>
      <c r="F37" s="473">
        <v>-4.4999999999999982</v>
      </c>
      <c r="G37" s="473">
        <v>-4.4999999999999991</v>
      </c>
      <c r="H37" s="452">
        <v>26.999999999999996</v>
      </c>
      <c r="I37" s="473">
        <v>-4.5000000000000018</v>
      </c>
      <c r="J37" s="473">
        <v>-4.4999999999999973</v>
      </c>
      <c r="K37" s="474">
        <v>-4.5000000000000018</v>
      </c>
      <c r="L37" s="554">
        <v>1123</v>
      </c>
      <c r="M37" s="87">
        <v>-27.000000000000004</v>
      </c>
      <c r="N37" s="40">
        <v>8.9999999999999947</v>
      </c>
      <c r="O37" s="41">
        <v>9</v>
      </c>
      <c r="P37" s="40">
        <v>-36</v>
      </c>
      <c r="Q37" s="40">
        <v>-36</v>
      </c>
      <c r="R37" s="40">
        <v>-1.124100812432971E-15</v>
      </c>
      <c r="S37" s="39">
        <v>108.00000000000001</v>
      </c>
      <c r="T37" s="40">
        <v>8.992806499463768E-15</v>
      </c>
      <c r="U37" s="40">
        <v>4.496403249731884E-15</v>
      </c>
      <c r="V37" s="41">
        <v>-27</v>
      </c>
    </row>
    <row r="38" spans="1:22" x14ac:dyDescent="0.2">
      <c r="A38" s="553">
        <v>133</v>
      </c>
      <c r="B38" s="87">
        <v>0</v>
      </c>
      <c r="C38" s="40">
        <v>0</v>
      </c>
      <c r="D38" s="41">
        <v>-4.4999999999999991</v>
      </c>
      <c r="E38" s="40">
        <v>0</v>
      </c>
      <c r="F38" s="40">
        <v>-4.4999999999999991</v>
      </c>
      <c r="G38" s="40">
        <v>0</v>
      </c>
      <c r="H38" s="39">
        <v>0</v>
      </c>
      <c r="I38" s="40">
        <v>8.9999999999999982</v>
      </c>
      <c r="J38" s="40">
        <v>0</v>
      </c>
      <c r="K38" s="41">
        <v>0</v>
      </c>
      <c r="L38" s="553">
        <v>1223</v>
      </c>
      <c r="M38" s="89">
        <v>9</v>
      </c>
      <c r="N38" s="94">
        <v>-27</v>
      </c>
      <c r="O38" s="475">
        <v>8.9999999999999964</v>
      </c>
      <c r="P38" s="94">
        <v>-36</v>
      </c>
      <c r="Q38" s="94">
        <v>-1.1990408665951691E-15</v>
      </c>
      <c r="R38" s="94">
        <v>-36</v>
      </c>
      <c r="S38" s="448">
        <v>4.7961634663806766E-15</v>
      </c>
      <c r="T38" s="94">
        <v>108</v>
      </c>
      <c r="U38" s="94">
        <v>4.7961634663806766E-15</v>
      </c>
      <c r="V38" s="475">
        <v>-27</v>
      </c>
    </row>
    <row r="39" spans="1:22" x14ac:dyDescent="0.2">
      <c r="A39" s="553">
        <v>223</v>
      </c>
      <c r="B39" s="89">
        <v>0</v>
      </c>
      <c r="C39" s="94">
        <v>-4.4999999999999991</v>
      </c>
      <c r="D39" s="475">
        <v>-3.7470027081099028E-16</v>
      </c>
      <c r="E39" s="94">
        <v>0</v>
      </c>
      <c r="F39" s="94">
        <v>0</v>
      </c>
      <c r="G39" s="94">
        <v>0</v>
      </c>
      <c r="H39" s="448">
        <v>0</v>
      </c>
      <c r="I39" s="94">
        <v>0</v>
      </c>
      <c r="J39" s="94">
        <v>8.9999999999999982</v>
      </c>
      <c r="K39" s="475">
        <v>-4.4999999999999991</v>
      </c>
      <c r="L39" s="552">
        <v>1233</v>
      </c>
      <c r="M39" s="75">
        <v>9.0000000000000018</v>
      </c>
      <c r="N39" s="96">
        <v>9</v>
      </c>
      <c r="O39" s="97">
        <v>-27.000000000000004</v>
      </c>
      <c r="P39" s="96">
        <v>0</v>
      </c>
      <c r="Q39" s="96">
        <v>-36.000000000000007</v>
      </c>
      <c r="R39" s="96">
        <v>-36.000000000000007</v>
      </c>
      <c r="S39" s="95">
        <v>2.4980018054066026E-15</v>
      </c>
      <c r="T39" s="96">
        <v>2.4980018054066026E-15</v>
      </c>
      <c r="U39" s="96">
        <v>108.00000000000001</v>
      </c>
      <c r="V39" s="97">
        <v>-27.000000000000004</v>
      </c>
    </row>
    <row r="40" spans="1:22" ht="18" x14ac:dyDescent="0.2">
      <c r="A40" s="552">
        <v>233</v>
      </c>
      <c r="B40" s="75">
        <v>0</v>
      </c>
      <c r="C40" s="96">
        <v>0</v>
      </c>
      <c r="D40" s="97">
        <v>-4.4999999999999991</v>
      </c>
      <c r="E40" s="96">
        <v>0</v>
      </c>
      <c r="F40" s="96">
        <v>0</v>
      </c>
      <c r="G40" s="96">
        <v>0</v>
      </c>
      <c r="H40" s="95">
        <v>0</v>
      </c>
      <c r="I40" s="96">
        <v>0</v>
      </c>
      <c r="J40" s="96">
        <v>-4.4999999999999991</v>
      </c>
      <c r="K40" s="97">
        <v>8.9999999999999982</v>
      </c>
      <c r="L40" s="552" t="s">
        <v>243</v>
      </c>
      <c r="M40" s="75">
        <v>162</v>
      </c>
      <c r="N40" s="96">
        <v>162.00000000000006</v>
      </c>
      <c r="O40" s="97">
        <v>162.00000000000006</v>
      </c>
      <c r="P40" s="96">
        <v>324.00000000000006</v>
      </c>
      <c r="Q40" s="96">
        <v>324.00000000000011</v>
      </c>
      <c r="R40" s="96">
        <v>324.00000000000011</v>
      </c>
      <c r="S40" s="95">
        <v>-972.00000000000034</v>
      </c>
      <c r="T40" s="96">
        <v>-972.00000000000034</v>
      </c>
      <c r="U40" s="96">
        <v>-972.00000000000034</v>
      </c>
      <c r="V40" s="97">
        <v>1458.0000000000002</v>
      </c>
    </row>
  </sheetData>
  <mergeCells count="6">
    <mergeCell ref="M18:V18"/>
    <mergeCell ref="M30:V30"/>
    <mergeCell ref="I1:O1"/>
    <mergeCell ref="I10:O10"/>
    <mergeCell ref="B18:K18"/>
    <mergeCell ref="B30:K30"/>
  </mergeCells>
  <conditionalFormatting sqref="B20:K29">
    <cfRule type="cellIs" dxfId="30" priority="2" operator="between">
      <formula>-0.0001</formula>
      <formula>0.0001</formula>
    </cfRule>
  </conditionalFormatting>
  <conditionalFormatting sqref="B31:K40">
    <cfRule type="cellIs" dxfId="29" priority="4" operator="between">
      <formula>-0.0001</formula>
      <formula>0.0001</formula>
    </cfRule>
  </conditionalFormatting>
  <conditionalFormatting sqref="I3:O9">
    <cfRule type="cellIs" dxfId="28" priority="3" operator="between">
      <formula>-0.0001</formula>
      <formula>0.0001</formula>
    </cfRule>
  </conditionalFormatting>
  <conditionalFormatting sqref="I11:O17 P20:V29">
    <cfRule type="cellIs" dxfId="27" priority="5" operator="between">
      <formula>-0.0001</formula>
      <formula>0.0001</formula>
    </cfRule>
  </conditionalFormatting>
  <conditionalFormatting sqref="M31:V40">
    <cfRule type="cellIs" dxfId="26" priority="1" operator="between">
      <formula>-0.0001</formula>
      <formula>0.0001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E941-B1BF-48A9-9E38-59B2B5049B1E}">
  <dimension ref="A1:N14"/>
  <sheetViews>
    <sheetView zoomScale="151" zoomScaleNormal="150" workbookViewId="0">
      <selection activeCell="B16" sqref="B16"/>
    </sheetView>
  </sheetViews>
  <sheetFormatPr baseColWidth="10" defaultColWidth="9.5" defaultRowHeight="15" customHeight="1" x14ac:dyDescent="0.2"/>
  <cols>
    <col min="1" max="255" width="6" style="527" customWidth="1"/>
    <col min="256" max="16384" width="9.5" style="527"/>
  </cols>
  <sheetData>
    <row r="1" spans="1:14" ht="15" customHeight="1" x14ac:dyDescent="0.2">
      <c r="A1" s="1469" t="s">
        <v>242</v>
      </c>
      <c r="B1" s="1470"/>
      <c r="C1" s="1466" t="s">
        <v>241</v>
      </c>
      <c r="D1" s="1467"/>
      <c r="E1" s="1467"/>
      <c r="F1" s="1468"/>
      <c r="G1" s="1469" t="s">
        <v>240</v>
      </c>
      <c r="H1" s="1470"/>
      <c r="I1" s="1466" t="s">
        <v>239</v>
      </c>
      <c r="J1" s="1467"/>
      <c r="K1" s="1467"/>
      <c r="L1" s="1468"/>
    </row>
    <row r="2" spans="1:14" ht="15" customHeight="1" x14ac:dyDescent="0.2">
      <c r="A2" s="538" t="s">
        <v>237</v>
      </c>
      <c r="B2" s="538" t="s">
        <v>238</v>
      </c>
      <c r="C2" s="551" t="s">
        <v>235</v>
      </c>
      <c r="D2" s="551" t="s">
        <v>234</v>
      </c>
      <c r="E2" s="551" t="s">
        <v>233</v>
      </c>
      <c r="F2" s="550" t="s">
        <v>232</v>
      </c>
      <c r="G2" s="538" t="s">
        <v>237</v>
      </c>
      <c r="H2" s="538" t="s">
        <v>236</v>
      </c>
      <c r="I2" s="551" t="s">
        <v>235</v>
      </c>
      <c r="J2" s="551" t="s">
        <v>234</v>
      </c>
      <c r="K2" s="551" t="s">
        <v>233</v>
      </c>
      <c r="L2" s="550" t="s">
        <v>232</v>
      </c>
    </row>
    <row r="3" spans="1:14" ht="15" customHeight="1" x14ac:dyDescent="0.2">
      <c r="A3" s="548" t="s">
        <v>231</v>
      </c>
      <c r="B3" s="549">
        <v>9.8000000000000004E-2</v>
      </c>
      <c r="C3" s="545">
        <v>1</v>
      </c>
      <c r="D3" s="545">
        <v>0</v>
      </c>
      <c r="E3" s="545">
        <v>0</v>
      </c>
      <c r="F3" s="544">
        <v>0</v>
      </c>
      <c r="G3" s="548" t="s">
        <v>231</v>
      </c>
      <c r="H3" s="547">
        <f t="array" ref="H3:H6">MMULT(TRANSPOSE(MMULT(F_s,MINVERSE(F_t))),q_s)</f>
        <v>9.8000000000000004E-2</v>
      </c>
      <c r="I3" s="546">
        <v>1</v>
      </c>
      <c r="J3" s="545">
        <v>0</v>
      </c>
      <c r="K3" s="545">
        <v>0</v>
      </c>
      <c r="L3" s="544">
        <v>0</v>
      </c>
    </row>
    <row r="4" spans="1:14" ht="15" customHeight="1" x14ac:dyDescent="0.2">
      <c r="A4" s="536" t="s">
        <v>225</v>
      </c>
      <c r="B4" s="530">
        <v>0.85199999999999998</v>
      </c>
      <c r="C4" s="527">
        <v>0</v>
      </c>
      <c r="D4" s="527">
        <v>4</v>
      </c>
      <c r="E4" s="527">
        <v>0</v>
      </c>
      <c r="F4" s="529">
        <v>0</v>
      </c>
      <c r="G4" s="536" t="s">
        <v>225</v>
      </c>
      <c r="H4" s="543">
        <v>0.86399999999999988</v>
      </c>
      <c r="I4" s="542">
        <v>0</v>
      </c>
      <c r="J4" s="527">
        <v>4</v>
      </c>
      <c r="K4" s="527">
        <v>0</v>
      </c>
      <c r="L4" s="529">
        <v>0</v>
      </c>
    </row>
    <row r="5" spans="1:14" ht="15" customHeight="1" x14ac:dyDescent="0.2">
      <c r="A5" s="536" t="s">
        <v>230</v>
      </c>
      <c r="B5" s="530">
        <v>2.3E-2</v>
      </c>
      <c r="C5" s="527">
        <v>0</v>
      </c>
      <c r="D5" s="527">
        <v>4</v>
      </c>
      <c r="E5" s="527">
        <v>0</v>
      </c>
      <c r="F5" s="529">
        <v>1</v>
      </c>
      <c r="G5" s="536" t="s">
        <v>228</v>
      </c>
      <c r="H5" s="543">
        <v>3.4000000000000002E-2</v>
      </c>
      <c r="I5" s="542">
        <v>0</v>
      </c>
      <c r="J5" s="527">
        <v>6</v>
      </c>
      <c r="K5" s="527">
        <v>1</v>
      </c>
      <c r="L5" s="529">
        <v>1</v>
      </c>
    </row>
    <row r="6" spans="1:14" ht="15" customHeight="1" x14ac:dyDescent="0.2">
      <c r="A6" s="536" t="s">
        <v>229</v>
      </c>
      <c r="B6" s="530">
        <v>5.0000000000000001E-3</v>
      </c>
      <c r="C6" s="527">
        <v>0</v>
      </c>
      <c r="D6" s="527">
        <v>6</v>
      </c>
      <c r="E6" s="527">
        <v>1</v>
      </c>
      <c r="F6" s="529">
        <v>0</v>
      </c>
      <c r="G6" s="541" t="s">
        <v>223</v>
      </c>
      <c r="H6" s="540">
        <v>4.000000000000001E-3</v>
      </c>
      <c r="I6" s="539">
        <v>0</v>
      </c>
      <c r="J6" s="534">
        <v>8</v>
      </c>
      <c r="K6" s="534">
        <v>2</v>
      </c>
      <c r="L6" s="533">
        <v>0</v>
      </c>
    </row>
    <row r="7" spans="1:14" ht="15" customHeight="1" x14ac:dyDescent="0.2">
      <c r="A7" s="536" t="s">
        <v>228</v>
      </c>
      <c r="B7" s="530">
        <v>1.1000000000000001E-2</v>
      </c>
      <c r="C7" s="527">
        <v>0</v>
      </c>
      <c r="D7" s="527">
        <v>6</v>
      </c>
      <c r="E7" s="527">
        <v>1</v>
      </c>
      <c r="F7" s="529">
        <v>1</v>
      </c>
      <c r="G7" s="538" t="s">
        <v>226</v>
      </c>
      <c r="H7" s="537">
        <f>SUM(H3:H6)</f>
        <v>0.99999999999999989</v>
      </c>
    </row>
    <row r="8" spans="1:14" ht="15" customHeight="1" x14ac:dyDescent="0.2">
      <c r="A8" s="536" t="s">
        <v>223</v>
      </c>
      <c r="B8" s="530">
        <v>8.0000000000000002E-3</v>
      </c>
      <c r="C8" s="527">
        <v>0</v>
      </c>
      <c r="D8" s="527">
        <v>8</v>
      </c>
      <c r="E8" s="527">
        <v>2</v>
      </c>
      <c r="F8" s="529">
        <v>0</v>
      </c>
    </row>
    <row r="9" spans="1:14" ht="15" customHeight="1" x14ac:dyDescent="0.2">
      <c r="A9" s="536" t="s">
        <v>224</v>
      </c>
      <c r="B9" s="530">
        <v>2E-3</v>
      </c>
      <c r="C9" s="527">
        <v>0</v>
      </c>
      <c r="D9" s="527">
        <v>10</v>
      </c>
      <c r="E9" s="527">
        <v>3</v>
      </c>
      <c r="F9" s="529">
        <v>0</v>
      </c>
    </row>
    <row r="10" spans="1:14" ht="15" customHeight="1" x14ac:dyDescent="0.2">
      <c r="A10" s="536" t="s">
        <v>227</v>
      </c>
      <c r="B10" s="535">
        <v>1E-3</v>
      </c>
      <c r="C10" s="534">
        <v>0</v>
      </c>
      <c r="D10" s="534">
        <v>12</v>
      </c>
      <c r="E10" s="534">
        <v>4</v>
      </c>
      <c r="F10" s="533">
        <v>0</v>
      </c>
    </row>
    <row r="11" spans="1:14" ht="15" customHeight="1" x14ac:dyDescent="0.2">
      <c r="A11" s="532" t="s">
        <v>226</v>
      </c>
      <c r="B11" s="531">
        <v>1</v>
      </c>
    </row>
    <row r="13" spans="1:14" ht="15" customHeight="1" x14ac:dyDescent="0.15">
      <c r="A13" s="528"/>
      <c r="B13" s="528"/>
      <c r="C13" s="528"/>
      <c r="D13" s="528"/>
      <c r="E13" s="528"/>
      <c r="F13" s="528"/>
      <c r="G13" s="528"/>
      <c r="H13" s="528"/>
      <c r="I13" s="528"/>
      <c r="J13" s="528"/>
      <c r="K13" s="528"/>
      <c r="L13" s="528"/>
      <c r="M13" s="528"/>
      <c r="N13" s="528"/>
    </row>
    <row r="14" spans="1:14" ht="15" customHeight="1" x14ac:dyDescent="0.15">
      <c r="A14" s="528"/>
      <c r="B14" s="528"/>
      <c r="C14" s="528"/>
      <c r="D14" s="528"/>
      <c r="E14" s="528"/>
      <c r="F14" s="528"/>
      <c r="G14" s="528"/>
      <c r="H14" s="528"/>
      <c r="I14" s="528"/>
      <c r="J14" s="528"/>
      <c r="K14" s="528"/>
      <c r="L14" s="528"/>
      <c r="M14" s="528"/>
      <c r="N14" s="528"/>
    </row>
  </sheetData>
  <mergeCells count="4">
    <mergeCell ref="C1:F1"/>
    <mergeCell ref="I1:L1"/>
    <mergeCell ref="G1:H1"/>
    <mergeCell ref="A1:B1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AE897-20D4-4FEF-ADB9-EE269DF9E313}">
  <dimension ref="A1:AB49"/>
  <sheetViews>
    <sheetView showGridLines="0" zoomScaleNormal="100" workbookViewId="0">
      <selection activeCell="E27" sqref="E27"/>
    </sheetView>
  </sheetViews>
  <sheetFormatPr baseColWidth="10" defaultColWidth="6.83203125" defaultRowHeight="16" x14ac:dyDescent="0.2"/>
  <cols>
    <col min="1" max="1" width="3.83203125" style="94" customWidth="1"/>
    <col min="2" max="10" width="6.83203125" style="1"/>
    <col min="11" max="11" width="3.83203125" style="511" customWidth="1"/>
    <col min="12" max="12" width="6.83203125" style="36"/>
    <col min="13" max="13" width="10" style="1" bestFit="1" customWidth="1"/>
    <col min="14" max="14" width="6.83203125" style="1" customWidth="1"/>
    <col min="15" max="20" width="6.83203125" style="1"/>
    <col min="25" max="25" width="9.1640625" customWidth="1"/>
    <col min="29" max="16384" width="6.83203125" style="1"/>
  </cols>
  <sheetData>
    <row r="1" spans="1:20" x14ac:dyDescent="0.2">
      <c r="A1" s="1357" t="s">
        <v>222</v>
      </c>
      <c r="B1" s="1346"/>
      <c r="C1" s="1346"/>
      <c r="D1" s="1346"/>
      <c r="E1" s="1360"/>
      <c r="F1" s="1357" t="s">
        <v>119</v>
      </c>
      <c r="G1" s="1346"/>
      <c r="H1" s="1346"/>
      <c r="I1" s="1346"/>
      <c r="J1" s="1360"/>
      <c r="K1" s="1476" t="s">
        <v>221</v>
      </c>
      <c r="L1" s="1477"/>
      <c r="M1" s="1357" t="s">
        <v>220</v>
      </c>
      <c r="N1" s="1346"/>
      <c r="O1" s="1346"/>
      <c r="P1" s="1346"/>
      <c r="Q1" s="1346"/>
      <c r="R1" s="1348"/>
      <c r="S1" s="526"/>
      <c r="T1" s="525"/>
    </row>
    <row r="2" spans="1:20" ht="18" x14ac:dyDescent="0.25">
      <c r="A2" s="524">
        <v>0</v>
      </c>
      <c r="B2" s="464">
        <v>1</v>
      </c>
      <c r="C2" s="464">
        <v>2</v>
      </c>
      <c r="D2" s="464">
        <v>3</v>
      </c>
      <c r="E2" s="454">
        <v>4</v>
      </c>
      <c r="F2" s="454" t="s">
        <v>219</v>
      </c>
      <c r="G2" s="464" t="s">
        <v>218</v>
      </c>
      <c r="H2" s="464" t="s">
        <v>217</v>
      </c>
      <c r="I2" s="464" t="s">
        <v>216</v>
      </c>
      <c r="J2" s="454" t="s">
        <v>215</v>
      </c>
      <c r="K2" s="1478"/>
      <c r="L2" s="1479"/>
      <c r="M2" s="1357" t="s">
        <v>214</v>
      </c>
      <c r="N2" s="1346"/>
      <c r="O2" s="1346"/>
      <c r="P2" s="1346"/>
      <c r="Q2" s="1346"/>
      <c r="R2" s="1348"/>
      <c r="S2" s="1461" t="s">
        <v>205</v>
      </c>
      <c r="T2" s="1473"/>
    </row>
    <row r="3" spans="1:20" x14ac:dyDescent="0.2">
      <c r="A3" s="39">
        <v>1</v>
      </c>
      <c r="B3" s="88">
        <f>-1</f>
        <v>-1</v>
      </c>
      <c r="C3" s="88">
        <f t="shared" ref="C3:C23" si="0">B3^2</f>
        <v>1</v>
      </c>
      <c r="D3" s="88">
        <f t="shared" ref="D3:D23" si="1">B3^3</f>
        <v>-1</v>
      </c>
      <c r="E3" s="80">
        <f t="shared" ref="E3:E23" si="2">B3^4</f>
        <v>1</v>
      </c>
      <c r="F3" s="37">
        <v>6.9000000000000006E-2</v>
      </c>
      <c r="G3" s="523" t="e">
        <f t="array" aca="1" ref="G3:G23" ca="1">MMULT(A3:B23,L6:L7)</f>
        <v>#NAME?</v>
      </c>
      <c r="H3" s="522" t="e">
        <f t="array" aca="1" ref="H3:H23" ca="1">MMULT(A3:C23,L9:L11)</f>
        <v>#NAME?</v>
      </c>
      <c r="I3" s="522" t="e">
        <f t="array" aca="1" ref="I3:I23" ca="1">MMULT(A3:D23,L13:L16)</f>
        <v>#NAME?</v>
      </c>
      <c r="J3" s="124" t="e">
        <f t="array" aca="1" ref="J3:J23" ca="1">MMULT(A3:E23,L18:L22)</f>
        <v>#NAME?</v>
      </c>
      <c r="K3" s="1474" t="s">
        <v>213</v>
      </c>
      <c r="L3" s="1475"/>
      <c r="M3" s="454" t="s">
        <v>47</v>
      </c>
      <c r="N3" s="71" t="s">
        <v>30</v>
      </c>
      <c r="O3" s="71" t="s">
        <v>31</v>
      </c>
      <c r="P3" s="71" t="s">
        <v>32</v>
      </c>
      <c r="Q3" s="516" t="s">
        <v>3</v>
      </c>
      <c r="R3" s="73" t="s">
        <v>33</v>
      </c>
      <c r="S3" s="1471" t="s">
        <v>204</v>
      </c>
      <c r="T3" s="1472"/>
    </row>
    <row r="4" spans="1:20" ht="19" x14ac:dyDescent="0.25">
      <c r="A4" s="448">
        <v>1</v>
      </c>
      <c r="B4" s="1">
        <f t="shared" ref="B4:B12" si="3">B3+0.1</f>
        <v>-0.9</v>
      </c>
      <c r="C4" s="1">
        <f t="shared" si="0"/>
        <v>0.81</v>
      </c>
      <c r="D4" s="1">
        <f t="shared" si="1"/>
        <v>-0.72900000000000009</v>
      </c>
      <c r="E4" s="90">
        <f t="shared" si="2"/>
        <v>0.65610000000000013</v>
      </c>
      <c r="F4" s="37">
        <v>0.23699999999999999</v>
      </c>
      <c r="G4" s="514" t="e">
        <f ca="1"/>
        <v>#NAME?</v>
      </c>
      <c r="H4" s="36" t="e">
        <f ca="1"/>
        <v>#NAME?</v>
      </c>
      <c r="I4" s="36" t="e">
        <f ca="1"/>
        <v>#NAME?</v>
      </c>
      <c r="J4" s="37" t="e">
        <f ca="1"/>
        <v>#NAME?</v>
      </c>
      <c r="K4" s="519">
        <v>0</v>
      </c>
      <c r="L4" s="521">
        <f>AVERAGE(F3:F23)</f>
        <v>0.26890476190476198</v>
      </c>
      <c r="M4" s="491" t="s">
        <v>5</v>
      </c>
      <c r="N4" s="81" t="e">
        <f ca="1">SUMSQ(G3:G23)-21*L4^2</f>
        <v>#NAME?</v>
      </c>
      <c r="O4" s="88">
        <f>2-1</f>
        <v>1</v>
      </c>
      <c r="P4" s="88" t="e">
        <f ca="1">N4/O4</f>
        <v>#NAME?</v>
      </c>
      <c r="Q4" s="88" t="e">
        <f ca="1">P4/P5</f>
        <v>#NAME?</v>
      </c>
      <c r="R4" s="80" t="e">
        <f ca="1">FDIST(Q4,O4,O5)</f>
        <v>#NAME?</v>
      </c>
      <c r="S4" s="129" t="s">
        <v>203</v>
      </c>
      <c r="T4" s="41" t="e">
        <f t="array" aca="1" ref="T4" ca="1">1-[5]!PRESS(B3:B23,F3:F23)/N6</f>
        <v>#NAME?</v>
      </c>
    </row>
    <row r="5" spans="1:20" ht="19" x14ac:dyDescent="0.25">
      <c r="A5" s="448">
        <v>1</v>
      </c>
      <c r="B5" s="1">
        <f t="shared" si="3"/>
        <v>-0.8</v>
      </c>
      <c r="C5" s="1">
        <f t="shared" si="0"/>
        <v>0.64000000000000012</v>
      </c>
      <c r="D5" s="1">
        <f t="shared" si="1"/>
        <v>-0.51200000000000012</v>
      </c>
      <c r="E5" s="90">
        <f t="shared" si="2"/>
        <v>0.40960000000000019</v>
      </c>
      <c r="F5" s="37">
        <v>0.17599999999999999</v>
      </c>
      <c r="G5" s="514" t="e">
        <f ca="1"/>
        <v>#NAME?</v>
      </c>
      <c r="H5" s="36" t="e">
        <f ca="1"/>
        <v>#NAME?</v>
      </c>
      <c r="I5" s="36" t="e">
        <f ca="1"/>
        <v>#NAME?</v>
      </c>
      <c r="J5" s="37" t="e">
        <f ca="1"/>
        <v>#NAME?</v>
      </c>
      <c r="K5" s="1474" t="s">
        <v>212</v>
      </c>
      <c r="L5" s="1475"/>
      <c r="M5" s="491" t="s">
        <v>6</v>
      </c>
      <c r="N5" s="455" t="e">
        <f ca="1">SUMSQ(F3:F23)-SUMSQ(G3:G23)</f>
        <v>#NAME?</v>
      </c>
      <c r="O5" s="1">
        <f>21-2</f>
        <v>19</v>
      </c>
      <c r="P5" s="1" t="e">
        <f ca="1">N5/O5</f>
        <v>#NAME?</v>
      </c>
      <c r="Q5" s="129" t="s">
        <v>46</v>
      </c>
      <c r="R5" s="80" t="e">
        <f ca="1">N4/N6</f>
        <v>#NAME?</v>
      </c>
      <c r="S5" s="491" t="s">
        <v>201</v>
      </c>
      <c r="T5" s="90" t="e">
        <f ca="1">1-P5/P6</f>
        <v>#NAME?</v>
      </c>
    </row>
    <row r="6" spans="1:20" x14ac:dyDescent="0.2">
      <c r="A6" s="448">
        <v>1</v>
      </c>
      <c r="B6" s="1">
        <f t="shared" si="3"/>
        <v>-0.70000000000000007</v>
      </c>
      <c r="C6" s="1">
        <f t="shared" si="0"/>
        <v>0.4900000000000001</v>
      </c>
      <c r="D6" s="1">
        <f t="shared" si="1"/>
        <v>-0.34300000000000008</v>
      </c>
      <c r="E6" s="90">
        <f t="shared" si="2"/>
        <v>0.24010000000000009</v>
      </c>
      <c r="F6" s="37">
        <v>0.23599999999999999</v>
      </c>
      <c r="G6" s="514" t="e">
        <f ca="1"/>
        <v>#NAME?</v>
      </c>
      <c r="H6" s="36" t="e">
        <f ca="1"/>
        <v>#NAME?</v>
      </c>
      <c r="I6" s="36" t="e">
        <f ca="1"/>
        <v>#NAME?</v>
      </c>
      <c r="J6" s="37" t="e">
        <f ca="1"/>
        <v>#NAME?</v>
      </c>
      <c r="K6" s="519">
        <v>0</v>
      </c>
      <c r="L6" s="517" t="e">
        <f t="array" aca="1" ref="L6:L7" ca="1">MMULT([5]!PseudoInv(A3:B23),F3:F23)</f>
        <v>#NAME?</v>
      </c>
      <c r="M6" s="127" t="s">
        <v>7</v>
      </c>
      <c r="N6" s="106">
        <f>SUMSQ(F3:F23)-21*L4^2</f>
        <v>2.2824838095238089</v>
      </c>
      <c r="O6" s="76">
        <f>21-1</f>
        <v>20</v>
      </c>
      <c r="P6" s="76">
        <f>N6/O6</f>
        <v>0.11412419047619045</v>
      </c>
      <c r="Q6" s="75" t="s">
        <v>200</v>
      </c>
      <c r="R6" s="77" t="e">
        <f ca="1">SQRT(P5)</f>
        <v>#NAME?</v>
      </c>
      <c r="S6" s="127" t="s">
        <v>199</v>
      </c>
      <c r="T6" s="77" t="e">
        <f ca="1">(O6+1)*LN(N5/21)+(O4+2)*LN(21)+21*LN((O4+1)*PI())+21</f>
        <v>#NAME?</v>
      </c>
    </row>
    <row r="7" spans="1:20" x14ac:dyDescent="0.2">
      <c r="A7" s="448">
        <v>1</v>
      </c>
      <c r="B7" s="1">
        <f t="shared" si="3"/>
        <v>-0.60000000000000009</v>
      </c>
      <c r="C7" s="1">
        <f t="shared" si="0"/>
        <v>0.3600000000000001</v>
      </c>
      <c r="D7" s="1">
        <f t="shared" si="1"/>
        <v>-0.21600000000000008</v>
      </c>
      <c r="E7" s="90">
        <f t="shared" si="2"/>
        <v>0.12960000000000008</v>
      </c>
      <c r="F7" s="37">
        <v>0.21099999999999999</v>
      </c>
      <c r="G7" s="514" t="e">
        <f ca="1"/>
        <v>#NAME?</v>
      </c>
      <c r="H7" s="36" t="e">
        <f ca="1"/>
        <v>#NAME?</v>
      </c>
      <c r="I7" s="36" t="e">
        <f ca="1"/>
        <v>#NAME?</v>
      </c>
      <c r="J7" s="37" t="e">
        <f ca="1"/>
        <v>#NAME?</v>
      </c>
      <c r="K7" s="519">
        <v>1</v>
      </c>
      <c r="L7" s="35" t="e">
        <f ca="1"/>
        <v>#NAME?</v>
      </c>
      <c r="M7" s="1357" t="s">
        <v>211</v>
      </c>
      <c r="N7" s="1346"/>
      <c r="O7" s="1346"/>
      <c r="P7" s="1346"/>
      <c r="Q7" s="1346"/>
      <c r="R7" s="1348"/>
      <c r="S7" s="1461" t="s">
        <v>205</v>
      </c>
      <c r="T7" s="1473"/>
    </row>
    <row r="8" spans="1:20" x14ac:dyDescent="0.2">
      <c r="A8" s="448">
        <v>1</v>
      </c>
      <c r="B8" s="1">
        <f t="shared" si="3"/>
        <v>-0.50000000000000011</v>
      </c>
      <c r="C8" s="1">
        <f t="shared" si="0"/>
        <v>0.25000000000000011</v>
      </c>
      <c r="D8" s="1">
        <f t="shared" si="1"/>
        <v>-0.12500000000000008</v>
      </c>
      <c r="E8" s="90">
        <f t="shared" si="2"/>
        <v>6.2500000000000056E-2</v>
      </c>
      <c r="F8" s="37">
        <v>0.47699999999999998</v>
      </c>
      <c r="G8" s="514" t="e">
        <f ca="1"/>
        <v>#NAME?</v>
      </c>
      <c r="H8" s="36" t="e">
        <f ca="1"/>
        <v>#NAME?</v>
      </c>
      <c r="I8" s="36" t="e">
        <f ca="1"/>
        <v>#NAME?</v>
      </c>
      <c r="J8" s="37" t="e">
        <f ca="1"/>
        <v>#NAME?</v>
      </c>
      <c r="K8" s="1474" t="s">
        <v>210</v>
      </c>
      <c r="L8" s="1475"/>
      <c r="M8" s="454" t="s">
        <v>47</v>
      </c>
      <c r="N8" s="71" t="s">
        <v>30</v>
      </c>
      <c r="O8" s="71" t="s">
        <v>31</v>
      </c>
      <c r="P8" s="71" t="s">
        <v>32</v>
      </c>
      <c r="Q8" s="516" t="s">
        <v>3</v>
      </c>
      <c r="R8" s="73" t="s">
        <v>33</v>
      </c>
      <c r="S8" s="1471" t="s">
        <v>204</v>
      </c>
      <c r="T8" s="1472"/>
    </row>
    <row r="9" spans="1:20" ht="19" x14ac:dyDescent="0.25">
      <c r="A9" s="448">
        <v>1</v>
      </c>
      <c r="B9" s="1">
        <f t="shared" si="3"/>
        <v>-0.40000000000000013</v>
      </c>
      <c r="C9" s="1">
        <f t="shared" si="0"/>
        <v>0.16000000000000011</v>
      </c>
      <c r="D9" s="1">
        <f t="shared" si="1"/>
        <v>-6.4000000000000071E-2</v>
      </c>
      <c r="E9" s="90">
        <f t="shared" si="2"/>
        <v>2.5600000000000036E-2</v>
      </c>
      <c r="F9" s="37">
        <v>0.53900000000000003</v>
      </c>
      <c r="G9" s="514" t="e">
        <f ca="1"/>
        <v>#NAME?</v>
      </c>
      <c r="H9" s="36" t="e">
        <f ca="1"/>
        <v>#NAME?</v>
      </c>
      <c r="I9" s="36" t="e">
        <f ca="1"/>
        <v>#NAME?</v>
      </c>
      <c r="J9" s="37" t="e">
        <f ca="1"/>
        <v>#NAME?</v>
      </c>
      <c r="K9" s="519">
        <v>0</v>
      </c>
      <c r="L9" s="517" t="e">
        <f t="array" aca="1" ref="L9:L11" ca="1">MMULT([5]!PseudoInv(A3:C23),F3:F23)</f>
        <v>#NAME?</v>
      </c>
      <c r="M9" s="491" t="s">
        <v>5</v>
      </c>
      <c r="N9" s="81" t="e">
        <f ca="1">SUMSQ(H3:H23)-21*L4^2</f>
        <v>#NAME?</v>
      </c>
      <c r="O9" s="88">
        <f>3-1</f>
        <v>2</v>
      </c>
      <c r="P9" s="88" t="e">
        <f ca="1">N9/O9</f>
        <v>#NAME?</v>
      </c>
      <c r="Q9" s="88" t="e">
        <f ca="1">P9/P10</f>
        <v>#NAME?</v>
      </c>
      <c r="R9" s="80" t="e">
        <f ca="1">FDIST(Q9,O9,O10)</f>
        <v>#NAME?</v>
      </c>
      <c r="S9" s="129" t="s">
        <v>203</v>
      </c>
      <c r="T9" s="80" t="e">
        <f t="array" aca="1" ref="T9" ca="1">1-[5]!PRESS(B3:C23,F3:F23)/N11</f>
        <v>#NAME?</v>
      </c>
    </row>
    <row r="10" spans="1:20" ht="19" x14ac:dyDescent="0.25">
      <c r="A10" s="448">
        <v>1</v>
      </c>
      <c r="B10" s="1">
        <f t="shared" si="3"/>
        <v>-0.30000000000000016</v>
      </c>
      <c r="C10" s="1">
        <f t="shared" si="0"/>
        <v>9.0000000000000094E-2</v>
      </c>
      <c r="D10" s="1">
        <f t="shared" si="1"/>
        <v>-2.7000000000000041E-2</v>
      </c>
      <c r="E10" s="90">
        <f t="shared" si="2"/>
        <v>8.1000000000000169E-3</v>
      </c>
      <c r="F10" s="37">
        <v>0.39300000000000002</v>
      </c>
      <c r="G10" s="514" t="e">
        <f ca="1"/>
        <v>#NAME?</v>
      </c>
      <c r="H10" s="36" t="e">
        <f ca="1"/>
        <v>#NAME?</v>
      </c>
      <c r="I10" s="36" t="e">
        <f ca="1"/>
        <v>#NAME?</v>
      </c>
      <c r="J10" s="37" t="e">
        <f ca="1"/>
        <v>#NAME?</v>
      </c>
      <c r="K10" s="519">
        <v>1</v>
      </c>
      <c r="L10" s="35" t="e">
        <f ca="1"/>
        <v>#NAME?</v>
      </c>
      <c r="M10" s="491" t="s">
        <v>6</v>
      </c>
      <c r="N10" s="514" t="e">
        <f ca="1">SUMSQ(F3:F23)-SUMSQ(H3:H23)</f>
        <v>#NAME?</v>
      </c>
      <c r="O10" s="1">
        <f>21-3</f>
        <v>18</v>
      </c>
      <c r="P10" s="1" t="e">
        <f ca="1">N10/O10</f>
        <v>#NAME?</v>
      </c>
      <c r="Q10" s="129" t="s">
        <v>202</v>
      </c>
      <c r="R10" s="80" t="e">
        <f ca="1">N9/N11</f>
        <v>#NAME?</v>
      </c>
      <c r="S10" s="491" t="s">
        <v>201</v>
      </c>
      <c r="T10" s="90" t="e">
        <f ca="1">1-P10/P11</f>
        <v>#NAME?</v>
      </c>
    </row>
    <row r="11" spans="1:20" x14ac:dyDescent="0.2">
      <c r="A11" s="448">
        <v>1</v>
      </c>
      <c r="B11" s="1">
        <f t="shared" si="3"/>
        <v>-0.20000000000000015</v>
      </c>
      <c r="C11" s="1">
        <f t="shared" si="0"/>
        <v>4.0000000000000063E-2</v>
      </c>
      <c r="D11" s="1">
        <f t="shared" si="1"/>
        <v>-8.0000000000000192E-3</v>
      </c>
      <c r="E11" s="90">
        <f t="shared" si="2"/>
        <v>1.6000000000000051E-3</v>
      </c>
      <c r="F11" s="37">
        <v>0.53300000000000003</v>
      </c>
      <c r="G11" s="514" t="e">
        <f ca="1"/>
        <v>#NAME?</v>
      </c>
      <c r="H11" s="36" t="e">
        <f ca="1"/>
        <v>#NAME?</v>
      </c>
      <c r="I11" s="36" t="e">
        <f ca="1"/>
        <v>#NAME?</v>
      </c>
      <c r="J11" s="37" t="e">
        <f ca="1"/>
        <v>#NAME?</v>
      </c>
      <c r="K11" s="519">
        <v>2</v>
      </c>
      <c r="L11" s="64" t="e">
        <f ca="1"/>
        <v>#NAME?</v>
      </c>
      <c r="M11" s="127" t="s">
        <v>7</v>
      </c>
      <c r="N11" s="106">
        <f>SUMSQ(F3:F23)-21*L4^2</f>
        <v>2.2824838095238089</v>
      </c>
      <c r="O11" s="76">
        <f>21-1</f>
        <v>20</v>
      </c>
      <c r="P11" s="76">
        <f>N11/O11</f>
        <v>0.11412419047619045</v>
      </c>
      <c r="Q11" s="75" t="s">
        <v>200</v>
      </c>
      <c r="R11" s="1" t="e">
        <f ca="1">SQRT(P10)</f>
        <v>#NAME?</v>
      </c>
      <c r="S11" s="127" t="s">
        <v>199</v>
      </c>
      <c r="T11" s="77" t="e">
        <f ca="1">21*LN(N10/21)+(O9+2)*LN(21)+21*LN(2*PI())+21</f>
        <v>#NAME?</v>
      </c>
    </row>
    <row r="12" spans="1:20" x14ac:dyDescent="0.2">
      <c r="A12" s="448">
        <v>1</v>
      </c>
      <c r="B12" s="1">
        <f t="shared" si="3"/>
        <v>-0.10000000000000014</v>
      </c>
      <c r="C12" s="1">
        <f t="shared" si="0"/>
        <v>1.000000000000003E-2</v>
      </c>
      <c r="D12" s="1">
        <f t="shared" si="1"/>
        <v>-1.0000000000000044E-3</v>
      </c>
      <c r="E12" s="90">
        <f t="shared" si="2"/>
        <v>1.0000000000000059E-4</v>
      </c>
      <c r="F12" s="37">
        <v>0.75</v>
      </c>
      <c r="G12" s="514" t="e">
        <f ca="1"/>
        <v>#NAME?</v>
      </c>
      <c r="H12" s="36" t="e">
        <f ca="1"/>
        <v>#NAME?</v>
      </c>
      <c r="I12" s="36" t="e">
        <f ca="1"/>
        <v>#NAME?</v>
      </c>
      <c r="J12" s="37" t="e">
        <f ca="1"/>
        <v>#NAME?</v>
      </c>
      <c r="K12" s="1474" t="s">
        <v>209</v>
      </c>
      <c r="L12" s="1475"/>
      <c r="M12" s="1357" t="s">
        <v>208</v>
      </c>
      <c r="N12" s="1346"/>
      <c r="O12" s="1346"/>
      <c r="P12" s="1346"/>
      <c r="Q12" s="1346"/>
      <c r="R12" s="1348"/>
      <c r="S12" s="1461" t="s">
        <v>205</v>
      </c>
      <c r="T12" s="1473"/>
    </row>
    <row r="13" spans="1:20" x14ac:dyDescent="0.2">
      <c r="A13" s="448">
        <v>1</v>
      </c>
      <c r="B13" s="1">
        <v>0</v>
      </c>
      <c r="C13" s="1">
        <f t="shared" si="0"/>
        <v>0</v>
      </c>
      <c r="D13" s="1">
        <f t="shared" si="1"/>
        <v>0</v>
      </c>
      <c r="E13" s="90">
        <f t="shared" si="2"/>
        <v>0</v>
      </c>
      <c r="F13" s="37">
        <v>0.67900000000000005</v>
      </c>
      <c r="G13" s="514" t="e">
        <f ca="1"/>
        <v>#NAME?</v>
      </c>
      <c r="H13" s="36" t="e">
        <f ca="1"/>
        <v>#NAME?</v>
      </c>
      <c r="I13" s="36" t="e">
        <f ca="1"/>
        <v>#NAME?</v>
      </c>
      <c r="J13" s="37" t="e">
        <f ca="1"/>
        <v>#NAME?</v>
      </c>
      <c r="K13" s="519">
        <v>0</v>
      </c>
      <c r="L13" s="517" t="e">
        <f t="array" aca="1" ref="L13:L16" ca="1">MMULT([5]!PseudoInv(A3:D23),F3:F23)</f>
        <v>#NAME?</v>
      </c>
      <c r="M13" s="454" t="s">
        <v>47</v>
      </c>
      <c r="N13" s="71" t="s">
        <v>30</v>
      </c>
      <c r="O13" s="71" t="s">
        <v>31</v>
      </c>
      <c r="P13" s="71" t="s">
        <v>32</v>
      </c>
      <c r="Q13" s="516" t="s">
        <v>3</v>
      </c>
      <c r="R13" s="73" t="s">
        <v>33</v>
      </c>
      <c r="S13" s="1471" t="s">
        <v>204</v>
      </c>
      <c r="T13" s="1472"/>
    </row>
    <row r="14" spans="1:20" ht="19" x14ac:dyDescent="0.25">
      <c r="A14" s="448">
        <v>1</v>
      </c>
      <c r="B14" s="1">
        <f t="shared" ref="B14:B23" si="4">B13+0.1</f>
        <v>0.1</v>
      </c>
      <c r="C14" s="1">
        <f t="shared" si="0"/>
        <v>1.0000000000000002E-2</v>
      </c>
      <c r="D14" s="1">
        <f t="shared" si="1"/>
        <v>1.0000000000000002E-3</v>
      </c>
      <c r="E14" s="90">
        <f t="shared" si="2"/>
        <v>1.0000000000000005E-4</v>
      </c>
      <c r="F14" s="37">
        <v>0.66500000000000004</v>
      </c>
      <c r="G14" s="514" t="e">
        <f ca="1"/>
        <v>#NAME?</v>
      </c>
      <c r="H14" s="36" t="e">
        <f ca="1"/>
        <v>#NAME?</v>
      </c>
      <c r="I14" s="36" t="e">
        <f ca="1"/>
        <v>#NAME?</v>
      </c>
      <c r="J14" s="37" t="e">
        <f ca="1"/>
        <v>#NAME?</v>
      </c>
      <c r="K14" s="519">
        <v>1</v>
      </c>
      <c r="L14" s="35" t="e">
        <f ca="1"/>
        <v>#NAME?</v>
      </c>
      <c r="M14" s="491" t="s">
        <v>5</v>
      </c>
      <c r="N14" s="81" t="e">
        <f ca="1">SUMSQ(I3:I23)-21*L4^2</f>
        <v>#NAME?</v>
      </c>
      <c r="O14" s="88">
        <f>4-1</f>
        <v>3</v>
      </c>
      <c r="P14" s="88" t="e">
        <f ca="1">N14/O14</f>
        <v>#NAME?</v>
      </c>
      <c r="Q14" s="88" t="e">
        <f ca="1">P14/P15</f>
        <v>#NAME?</v>
      </c>
      <c r="R14" s="80" t="e">
        <f ca="1">FDIST(Q14,O14,O15)</f>
        <v>#NAME?</v>
      </c>
      <c r="S14" s="129" t="s">
        <v>203</v>
      </c>
      <c r="T14" s="80" t="e">
        <f t="array" aca="1" ref="T14" ca="1">1-[5]!PRESS(B3:D23,F3:F23)/N16</f>
        <v>#NAME?</v>
      </c>
    </row>
    <row r="15" spans="1:20" ht="19" x14ac:dyDescent="0.25">
      <c r="A15" s="448">
        <v>1</v>
      </c>
      <c r="B15" s="1">
        <f t="shared" si="4"/>
        <v>0.2</v>
      </c>
      <c r="C15" s="1">
        <f t="shared" si="0"/>
        <v>4.0000000000000008E-2</v>
      </c>
      <c r="D15" s="1">
        <f t="shared" si="1"/>
        <v>8.0000000000000019E-3</v>
      </c>
      <c r="E15" s="90">
        <f t="shared" si="2"/>
        <v>1.6000000000000007E-3</v>
      </c>
      <c r="F15" s="37">
        <v>0.68700000000000006</v>
      </c>
      <c r="G15" s="514" t="e">
        <f ca="1"/>
        <v>#NAME?</v>
      </c>
      <c r="H15" s="36" t="e">
        <f ca="1"/>
        <v>#NAME?</v>
      </c>
      <c r="I15" s="36" t="e">
        <f ca="1"/>
        <v>#NAME?</v>
      </c>
      <c r="J15" s="37" t="e">
        <f ca="1"/>
        <v>#NAME?</v>
      </c>
      <c r="K15" s="519">
        <v>2</v>
      </c>
      <c r="L15" s="35" t="e">
        <f ca="1"/>
        <v>#NAME?</v>
      </c>
      <c r="M15" s="491" t="s">
        <v>6</v>
      </c>
      <c r="N15" s="455" t="e">
        <f ca="1">SUMSQ(F3:F23)-SUMSQ(I3:I23)</f>
        <v>#NAME?</v>
      </c>
      <c r="O15" s="1">
        <f>21-4</f>
        <v>17</v>
      </c>
      <c r="P15" s="1" t="e">
        <f ca="1">N15/O15</f>
        <v>#NAME?</v>
      </c>
      <c r="Q15" s="129" t="s">
        <v>202</v>
      </c>
      <c r="R15" s="80" t="e">
        <f ca="1">N14/N16</f>
        <v>#NAME?</v>
      </c>
      <c r="S15" s="491" t="s">
        <v>201</v>
      </c>
      <c r="T15" s="90" t="e">
        <f ca="1">1-P15/P16</f>
        <v>#NAME?</v>
      </c>
    </row>
    <row r="16" spans="1:20" x14ac:dyDescent="0.2">
      <c r="A16" s="448">
        <v>1</v>
      </c>
      <c r="B16" s="1">
        <f t="shared" si="4"/>
        <v>0.30000000000000004</v>
      </c>
      <c r="C16" s="1">
        <f t="shared" si="0"/>
        <v>9.0000000000000024E-2</v>
      </c>
      <c r="D16" s="1">
        <f t="shared" si="1"/>
        <v>2.700000000000001E-2</v>
      </c>
      <c r="E16" s="90">
        <f t="shared" si="2"/>
        <v>8.1000000000000048E-3</v>
      </c>
      <c r="F16" s="37">
        <v>0.30399999999999999</v>
      </c>
      <c r="G16" s="514" t="e">
        <f ca="1"/>
        <v>#NAME?</v>
      </c>
      <c r="H16" s="36" t="e">
        <f ca="1"/>
        <v>#NAME?</v>
      </c>
      <c r="I16" s="36" t="e">
        <f ca="1"/>
        <v>#NAME?</v>
      </c>
      <c r="J16" s="37" t="e">
        <f ca="1"/>
        <v>#NAME?</v>
      </c>
      <c r="K16" s="519">
        <v>3</v>
      </c>
      <c r="L16" s="64" t="e">
        <f ca="1"/>
        <v>#NAME?</v>
      </c>
      <c r="M16" s="127" t="s">
        <v>7</v>
      </c>
      <c r="N16" s="106">
        <f>SUMSQ(F3:F23)-21*L4^2</f>
        <v>2.2824838095238089</v>
      </c>
      <c r="O16" s="76">
        <f>21-1</f>
        <v>20</v>
      </c>
      <c r="P16" s="76">
        <f>N16/O16</f>
        <v>0.11412419047619045</v>
      </c>
      <c r="Q16" s="75" t="s">
        <v>200</v>
      </c>
      <c r="R16" s="1" t="e">
        <f ca="1">SQRT(P15)</f>
        <v>#NAME?</v>
      </c>
      <c r="S16" s="127" t="s">
        <v>199</v>
      </c>
      <c r="T16" s="520" t="e">
        <f ca="1">21*LN(N15/21)+(O14+2)*LN(21)+21*LN(2*PI())+21</f>
        <v>#NAME?</v>
      </c>
    </row>
    <row r="17" spans="1:20" x14ac:dyDescent="0.2">
      <c r="A17" s="448">
        <v>1</v>
      </c>
      <c r="B17" s="1">
        <f t="shared" si="4"/>
        <v>0.4</v>
      </c>
      <c r="C17" s="1">
        <f t="shared" si="0"/>
        <v>0.16000000000000003</v>
      </c>
      <c r="D17" s="1">
        <f t="shared" si="1"/>
        <v>6.4000000000000015E-2</v>
      </c>
      <c r="E17" s="90">
        <f t="shared" si="2"/>
        <v>2.5600000000000012E-2</v>
      </c>
      <c r="F17" s="37">
        <v>0.14000000000000001</v>
      </c>
      <c r="G17" s="514" t="e">
        <f ca="1"/>
        <v>#NAME?</v>
      </c>
      <c r="H17" s="36" t="e">
        <f ca="1"/>
        <v>#NAME?</v>
      </c>
      <c r="I17" s="36" t="e">
        <f ca="1"/>
        <v>#NAME?</v>
      </c>
      <c r="J17" s="37" t="e">
        <f ca="1"/>
        <v>#NAME?</v>
      </c>
      <c r="K17" s="1474" t="s">
        <v>207</v>
      </c>
      <c r="L17" s="1475"/>
      <c r="M17" s="1357" t="s">
        <v>206</v>
      </c>
      <c r="N17" s="1346"/>
      <c r="O17" s="1346"/>
      <c r="P17" s="1346"/>
      <c r="Q17" s="1346"/>
      <c r="R17" s="1348"/>
      <c r="S17" s="1461" t="s">
        <v>205</v>
      </c>
      <c r="T17" s="1473"/>
    </row>
    <row r="18" spans="1:20" x14ac:dyDescent="0.2">
      <c r="A18" s="448">
        <v>1</v>
      </c>
      <c r="B18" s="1">
        <f t="shared" si="4"/>
        <v>0.5</v>
      </c>
      <c r="C18" s="1">
        <f t="shared" si="0"/>
        <v>0.25</v>
      </c>
      <c r="D18" s="1">
        <f t="shared" si="1"/>
        <v>0.125</v>
      </c>
      <c r="E18" s="90">
        <f t="shared" si="2"/>
        <v>6.25E-2</v>
      </c>
      <c r="F18" s="37">
        <v>0.50600000000000001</v>
      </c>
      <c r="G18" s="514" t="e">
        <f ca="1"/>
        <v>#NAME?</v>
      </c>
      <c r="H18" s="36" t="e">
        <f ca="1"/>
        <v>#NAME?</v>
      </c>
      <c r="I18" s="36" t="e">
        <f ca="1"/>
        <v>#NAME?</v>
      </c>
      <c r="J18" s="37" t="e">
        <f ca="1"/>
        <v>#NAME?</v>
      </c>
      <c r="K18" s="518">
        <v>0</v>
      </c>
      <c r="L18" s="517" t="e">
        <f t="array" aca="1" ref="L18:L22" ca="1">MMULT([5]!PseudoInv(A3:E23),F3:F23)</f>
        <v>#NAME?</v>
      </c>
      <c r="M18" s="454" t="s">
        <v>47</v>
      </c>
      <c r="N18" s="71" t="s">
        <v>30</v>
      </c>
      <c r="O18" s="71" t="s">
        <v>31</v>
      </c>
      <c r="P18" s="71" t="s">
        <v>32</v>
      </c>
      <c r="Q18" s="516" t="s">
        <v>3</v>
      </c>
      <c r="R18" s="73" t="s">
        <v>33</v>
      </c>
      <c r="S18" s="1471" t="s">
        <v>204</v>
      </c>
      <c r="T18" s="1472"/>
    </row>
    <row r="19" spans="1:20" ht="19" x14ac:dyDescent="0.25">
      <c r="A19" s="448">
        <v>1</v>
      </c>
      <c r="B19" s="1">
        <f t="shared" si="4"/>
        <v>0.6</v>
      </c>
      <c r="C19" s="1">
        <f t="shared" si="0"/>
        <v>0.36</v>
      </c>
      <c r="D19" s="1">
        <f t="shared" si="1"/>
        <v>0.216</v>
      </c>
      <c r="E19" s="90">
        <f t="shared" si="2"/>
        <v>0.12959999999999999</v>
      </c>
      <c r="F19" s="37">
        <v>-3.6999999999999998E-2</v>
      </c>
      <c r="G19" s="514" t="e">
        <f ca="1"/>
        <v>#NAME?</v>
      </c>
      <c r="H19" s="36" t="e">
        <f ca="1"/>
        <v>#NAME?</v>
      </c>
      <c r="I19" s="36" t="e">
        <f ca="1"/>
        <v>#NAME?</v>
      </c>
      <c r="J19" s="37" t="e">
        <f ca="1"/>
        <v>#NAME?</v>
      </c>
      <c r="K19" s="515">
        <v>1</v>
      </c>
      <c r="L19" s="35" t="e">
        <f ca="1"/>
        <v>#NAME?</v>
      </c>
      <c r="M19" s="491" t="s">
        <v>5</v>
      </c>
      <c r="N19" s="81" t="e">
        <f ca="1">SUMSQ(J3:J23)-21*L4^2</f>
        <v>#NAME?</v>
      </c>
      <c r="O19" s="88">
        <v>4</v>
      </c>
      <c r="P19" s="88" t="e">
        <f ca="1">N19/O19</f>
        <v>#NAME?</v>
      </c>
      <c r="Q19" s="88" t="e">
        <f ca="1">P19/P20</f>
        <v>#NAME?</v>
      </c>
      <c r="R19" s="80" t="e">
        <f ca="1">FDIST(Q19,O19,O20)</f>
        <v>#NAME?</v>
      </c>
      <c r="S19" s="129" t="s">
        <v>203</v>
      </c>
      <c r="T19" s="80" t="e">
        <f t="array" aca="1" ref="T19" ca="1">1-[5]!PRESS(B3:E23,F3:F23)/N21</f>
        <v>#NAME?</v>
      </c>
    </row>
    <row r="20" spans="1:20" ht="19" x14ac:dyDescent="0.25">
      <c r="A20" s="448">
        <v>1</v>
      </c>
      <c r="B20" s="1">
        <f t="shared" si="4"/>
        <v>0.7</v>
      </c>
      <c r="C20" s="1">
        <f t="shared" si="0"/>
        <v>0.48999999999999994</v>
      </c>
      <c r="D20" s="1">
        <f t="shared" si="1"/>
        <v>0.34299999999999992</v>
      </c>
      <c r="E20" s="90">
        <f t="shared" si="2"/>
        <v>0.24009999999999992</v>
      </c>
      <c r="F20" s="37">
        <v>-8.6999999999999994E-2</v>
      </c>
      <c r="G20" s="514" t="e">
        <f ca="1"/>
        <v>#NAME?</v>
      </c>
      <c r="H20" s="36" t="e">
        <f ca="1"/>
        <v>#NAME?</v>
      </c>
      <c r="I20" s="36" t="e">
        <f ca="1"/>
        <v>#NAME?</v>
      </c>
      <c r="J20" s="37" t="e">
        <f ca="1"/>
        <v>#NAME?</v>
      </c>
      <c r="K20" s="515">
        <v>2</v>
      </c>
      <c r="L20" s="35" t="e">
        <f ca="1"/>
        <v>#NAME?</v>
      </c>
      <c r="M20" s="491" t="s">
        <v>6</v>
      </c>
      <c r="N20" s="455" t="e">
        <f ca="1">SUMSQ(F3:F23)-SUMSQ(J3:J23)</f>
        <v>#NAME?</v>
      </c>
      <c r="O20" s="1">
        <f>21-3</f>
        <v>18</v>
      </c>
      <c r="P20" s="1" t="e">
        <f ca="1">N20/O20</f>
        <v>#NAME?</v>
      </c>
      <c r="Q20" s="129" t="s">
        <v>202</v>
      </c>
      <c r="R20" s="80" t="e">
        <f ca="1">N19/N21</f>
        <v>#NAME?</v>
      </c>
      <c r="S20" s="491" t="s">
        <v>201</v>
      </c>
      <c r="T20" s="90" t="e">
        <f ca="1">1-P20/P21</f>
        <v>#NAME?</v>
      </c>
    </row>
    <row r="21" spans="1:20" x14ac:dyDescent="0.2">
      <c r="A21" s="448">
        <v>1</v>
      </c>
      <c r="B21" s="1">
        <f t="shared" si="4"/>
        <v>0.79999999999999993</v>
      </c>
      <c r="C21" s="1">
        <f t="shared" si="0"/>
        <v>0.6399999999999999</v>
      </c>
      <c r="D21" s="1">
        <f t="shared" si="1"/>
        <v>0.5119999999999999</v>
      </c>
      <c r="E21" s="90">
        <f t="shared" si="2"/>
        <v>0.40959999999999985</v>
      </c>
      <c r="F21" s="37">
        <v>-1.4E-2</v>
      </c>
      <c r="G21" s="514" t="e">
        <f ca="1"/>
        <v>#NAME?</v>
      </c>
      <c r="H21" s="36" t="e">
        <f ca="1"/>
        <v>#NAME?</v>
      </c>
      <c r="I21" s="36" t="e">
        <f ca="1"/>
        <v>#NAME?</v>
      </c>
      <c r="J21" s="37" t="e">
        <f ca="1"/>
        <v>#NAME?</v>
      </c>
      <c r="K21" s="515">
        <v>3</v>
      </c>
      <c r="L21" s="35" t="e">
        <f ca="1"/>
        <v>#NAME?</v>
      </c>
      <c r="M21" s="127" t="s">
        <v>7</v>
      </c>
      <c r="N21" s="106">
        <f>SUMSQ(F3:F23)-21*L4^2</f>
        <v>2.2824838095238089</v>
      </c>
      <c r="O21" s="76">
        <f>21-1</f>
        <v>20</v>
      </c>
      <c r="P21" s="76">
        <f>N21/O21</f>
        <v>0.11412419047619045</v>
      </c>
      <c r="Q21" s="75" t="s">
        <v>200</v>
      </c>
      <c r="R21" s="77" t="e">
        <f ca="1">SQRT(P20)</f>
        <v>#NAME?</v>
      </c>
      <c r="S21" s="127" t="s">
        <v>199</v>
      </c>
      <c r="T21" s="77" t="e">
        <f ca="1">21*LN(N20/21)+(O19+2)*LN(21)+21*LN(2*PI())+21</f>
        <v>#NAME?</v>
      </c>
    </row>
    <row r="22" spans="1:20" x14ac:dyDescent="0.2">
      <c r="A22" s="448">
        <v>1</v>
      </c>
      <c r="B22" s="1">
        <f t="shared" si="4"/>
        <v>0.89999999999999991</v>
      </c>
      <c r="C22" s="1">
        <f t="shared" si="0"/>
        <v>0.80999999999999983</v>
      </c>
      <c r="D22" s="1">
        <f t="shared" si="1"/>
        <v>0.72899999999999976</v>
      </c>
      <c r="E22" s="90">
        <f t="shared" si="2"/>
        <v>0.65609999999999968</v>
      </c>
      <c r="F22" s="37">
        <v>-0.36599999999999999</v>
      </c>
      <c r="G22" s="514" t="e">
        <f ca="1"/>
        <v>#NAME?</v>
      </c>
      <c r="H22" s="36" t="e">
        <f ca="1"/>
        <v>#NAME?</v>
      </c>
      <c r="I22" s="36" t="e">
        <f ca="1"/>
        <v>#NAME?</v>
      </c>
      <c r="J22" s="37" t="e">
        <f ca="1"/>
        <v>#NAME?</v>
      </c>
      <c r="K22" s="513">
        <v>4</v>
      </c>
      <c r="L22" s="64" t="e">
        <f ca="1"/>
        <v>#NAME?</v>
      </c>
      <c r="N22" s="511"/>
      <c r="O22" s="511"/>
      <c r="P22" s="511"/>
      <c r="Q22" s="511"/>
      <c r="R22" s="511"/>
      <c r="S22" s="511"/>
      <c r="T22" s="511"/>
    </row>
    <row r="23" spans="1:20" x14ac:dyDescent="0.2">
      <c r="A23" s="95">
        <v>1</v>
      </c>
      <c r="B23" s="76">
        <f t="shared" si="4"/>
        <v>0.99999999999999989</v>
      </c>
      <c r="C23" s="76">
        <f t="shared" si="0"/>
        <v>0.99999999999999978</v>
      </c>
      <c r="D23" s="76">
        <f t="shared" si="1"/>
        <v>0.99999999999999967</v>
      </c>
      <c r="E23" s="77">
        <f t="shared" si="2"/>
        <v>0.99999999999999956</v>
      </c>
      <c r="F23" s="66">
        <v>-0.45100000000000001</v>
      </c>
      <c r="G23" s="512" t="e">
        <f ca="1"/>
        <v>#NAME?</v>
      </c>
      <c r="H23" s="65" t="e">
        <f ca="1"/>
        <v>#NAME?</v>
      </c>
      <c r="I23" s="65" t="e">
        <f ca="1"/>
        <v>#NAME?</v>
      </c>
      <c r="J23" s="66" t="e">
        <f ca="1"/>
        <v>#NAME?</v>
      </c>
      <c r="M23" s="511"/>
      <c r="N23" s="36"/>
    </row>
    <row r="24" spans="1:20" x14ac:dyDescent="0.2">
      <c r="M24" s="94"/>
    </row>
    <row r="25" spans="1:20" x14ac:dyDescent="0.2">
      <c r="A25"/>
      <c r="B25"/>
      <c r="C25"/>
      <c r="D25"/>
      <c r="E25"/>
      <c r="F25"/>
      <c r="G25"/>
      <c r="H25"/>
      <c r="I25"/>
    </row>
    <row r="26" spans="1:20" x14ac:dyDescent="0.2">
      <c r="A26"/>
      <c r="B26"/>
      <c r="C26"/>
      <c r="D26"/>
      <c r="E26"/>
      <c r="F26"/>
      <c r="G26"/>
      <c r="H26"/>
      <c r="I26"/>
    </row>
    <row r="27" spans="1:20" x14ac:dyDescent="0.2">
      <c r="A27"/>
      <c r="B27"/>
      <c r="C27"/>
      <c r="D27"/>
      <c r="E27"/>
      <c r="F27"/>
      <c r="G27"/>
      <c r="H27"/>
      <c r="I27"/>
    </row>
    <row r="28" spans="1:20" x14ac:dyDescent="0.2">
      <c r="A28"/>
      <c r="B28"/>
      <c r="C28"/>
      <c r="D28"/>
      <c r="E28"/>
      <c r="F28"/>
      <c r="G28"/>
      <c r="H28"/>
      <c r="I28"/>
    </row>
    <row r="29" spans="1:20" x14ac:dyDescent="0.2">
      <c r="A29"/>
      <c r="B29"/>
      <c r="C29"/>
      <c r="D29"/>
      <c r="E29"/>
      <c r="F29"/>
      <c r="G29"/>
      <c r="H29"/>
      <c r="I29"/>
    </row>
    <row r="30" spans="1:20" x14ac:dyDescent="0.2">
      <c r="A30"/>
      <c r="B30"/>
      <c r="C30"/>
      <c r="D30"/>
      <c r="E30"/>
      <c r="F30"/>
      <c r="G30"/>
      <c r="H30"/>
      <c r="I30"/>
    </row>
    <row r="31" spans="1:20" x14ac:dyDescent="0.2">
      <c r="A31"/>
      <c r="B31"/>
      <c r="C31"/>
      <c r="D31"/>
      <c r="E31"/>
      <c r="F31"/>
      <c r="G31"/>
      <c r="H31"/>
      <c r="I31"/>
    </row>
    <row r="32" spans="1:20" x14ac:dyDescent="0.2">
      <c r="A32"/>
      <c r="B32"/>
      <c r="C32"/>
      <c r="D32"/>
      <c r="E32"/>
      <c r="F32"/>
      <c r="G32"/>
      <c r="H32"/>
      <c r="I32"/>
    </row>
    <row r="47" spans="3:3" x14ac:dyDescent="0.2">
      <c r="C47" s="36"/>
    </row>
    <row r="48" spans="3:3" x14ac:dyDescent="0.2">
      <c r="C48" s="36"/>
    </row>
    <row r="49" spans="3:3" x14ac:dyDescent="0.2">
      <c r="C49" s="36"/>
    </row>
  </sheetData>
  <mergeCells count="21">
    <mergeCell ref="A1:E1"/>
    <mergeCell ref="F1:J1"/>
    <mergeCell ref="M1:R1"/>
    <mergeCell ref="M2:R2"/>
    <mergeCell ref="K8:L8"/>
    <mergeCell ref="K5:L5"/>
    <mergeCell ref="K3:L3"/>
    <mergeCell ref="K1:L2"/>
    <mergeCell ref="S2:T2"/>
    <mergeCell ref="S3:T3"/>
    <mergeCell ref="S7:T7"/>
    <mergeCell ref="S8:T8"/>
    <mergeCell ref="M7:R7"/>
    <mergeCell ref="S13:T13"/>
    <mergeCell ref="S17:T17"/>
    <mergeCell ref="S18:T18"/>
    <mergeCell ref="K17:L17"/>
    <mergeCell ref="K12:L12"/>
    <mergeCell ref="S12:T12"/>
    <mergeCell ref="M12:R12"/>
    <mergeCell ref="M17:R17"/>
  </mergeCells>
  <pageMargins left="0.7" right="0.7" top="0.75" bottom="0.75" header="0.3" footer="0.3"/>
  <pageSetup orientation="portrait" horizontalDpi="0" verticalDpi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1724B-91A0-8E49-BFA7-1F0F4038AB3E}">
  <sheetPr>
    <pageSetUpPr autoPageBreaks="0"/>
  </sheetPr>
  <dimension ref="A1:T39"/>
  <sheetViews>
    <sheetView showGridLines="0" topLeftCell="S1" zoomScale="150" zoomScaleNormal="150" workbookViewId="0">
      <selection activeCell="R5" sqref="R5"/>
    </sheetView>
  </sheetViews>
  <sheetFormatPr baseColWidth="10" defaultColWidth="6.6640625" defaultRowHeight="15" x14ac:dyDescent="0.2"/>
  <cols>
    <col min="1" max="1" width="3.6640625" style="143" customWidth="1"/>
    <col min="2" max="2" width="4.6640625" style="143" customWidth="1"/>
    <col min="3" max="3" width="6.6640625" style="144" customWidth="1"/>
    <col min="4" max="4" width="6.6640625" style="1255"/>
    <col min="5" max="5" width="6.6640625" style="147"/>
    <col min="6" max="6" width="6.6640625" style="143"/>
    <col min="7" max="10" width="6.6640625" style="144" customWidth="1"/>
    <col min="11" max="17" width="6.6640625" style="144"/>
    <col min="18" max="20" width="6.6640625" style="144" customWidth="1"/>
    <col min="21" max="21" width="6.83203125" style="144" bestFit="1" customWidth="1"/>
    <col min="22" max="22" width="6.6640625" style="144" customWidth="1"/>
    <col min="23" max="16384" width="6.6640625" style="144"/>
  </cols>
  <sheetData>
    <row r="1" spans="1:20" x14ac:dyDescent="0.2">
      <c r="A1" s="1311"/>
      <c r="B1" s="1311" t="s">
        <v>0</v>
      </c>
      <c r="C1" s="1311" t="s">
        <v>1</v>
      </c>
      <c r="D1" s="1312" t="s">
        <v>2</v>
      </c>
      <c r="E1" s="1313" t="s">
        <v>617</v>
      </c>
      <c r="F1" s="1311" t="s">
        <v>255</v>
      </c>
      <c r="G1" s="1311" t="s">
        <v>3</v>
      </c>
      <c r="H1" s="1311" t="s">
        <v>618</v>
      </c>
      <c r="I1" s="1311" t="s">
        <v>619</v>
      </c>
      <c r="J1" s="1311" t="s">
        <v>620</v>
      </c>
      <c r="K1" s="1311" t="s">
        <v>621</v>
      </c>
      <c r="L1" s="1311" t="s">
        <v>4</v>
      </c>
      <c r="M1" s="1311" t="s">
        <v>254</v>
      </c>
      <c r="N1" s="1311" t="s">
        <v>5</v>
      </c>
      <c r="O1" s="1311" t="s">
        <v>622</v>
      </c>
      <c r="P1" s="1311" t="s">
        <v>623</v>
      </c>
      <c r="Q1" s="1311" t="s">
        <v>253</v>
      </c>
    </row>
    <row r="2" spans="1:20" ht="15" customHeight="1" x14ac:dyDescent="0.2">
      <c r="A2" s="1311">
        <v>1</v>
      </c>
      <c r="B2" s="1501" t="s">
        <v>10</v>
      </c>
      <c r="C2" s="1480" t="s">
        <v>14</v>
      </c>
      <c r="D2" s="1504"/>
      <c r="E2" s="1505"/>
      <c r="F2" s="191" t="s">
        <v>219</v>
      </c>
      <c r="G2" s="1303" t="s">
        <v>616</v>
      </c>
      <c r="H2" s="1506" t="s">
        <v>615</v>
      </c>
      <c r="I2" s="1509" t="s">
        <v>614</v>
      </c>
      <c r="J2" s="1512" t="s">
        <v>613</v>
      </c>
      <c r="K2" s="1515" t="s">
        <v>612</v>
      </c>
      <c r="L2" s="1489" t="s">
        <v>611</v>
      </c>
      <c r="M2" s="1485"/>
      <c r="N2" s="1485"/>
      <c r="O2" s="1484" t="s">
        <v>610</v>
      </c>
      <c r="P2" s="1485"/>
      <c r="Q2" s="1486"/>
    </row>
    <row r="3" spans="1:20" ht="15" customHeight="1" x14ac:dyDescent="0.2">
      <c r="A3" s="1311">
        <v>2</v>
      </c>
      <c r="B3" s="1502"/>
      <c r="C3" s="1490" t="s">
        <v>609</v>
      </c>
      <c r="D3" s="191" t="s">
        <v>608</v>
      </c>
      <c r="E3" s="1304" t="s">
        <v>66</v>
      </c>
      <c r="F3" s="1480" t="s">
        <v>607</v>
      </c>
      <c r="G3" s="1492"/>
      <c r="H3" s="1507"/>
      <c r="I3" s="1510"/>
      <c r="J3" s="1513"/>
      <c r="K3" s="1507"/>
      <c r="L3" s="1493" t="s">
        <v>624</v>
      </c>
      <c r="M3" s="1495" t="s">
        <v>625</v>
      </c>
      <c r="N3" s="1495" t="s">
        <v>626</v>
      </c>
      <c r="O3" s="1493" t="s">
        <v>606</v>
      </c>
      <c r="P3" s="1495" t="s">
        <v>605</v>
      </c>
      <c r="Q3" s="1499" t="s">
        <v>604</v>
      </c>
    </row>
    <row r="4" spans="1:20" ht="15" customHeight="1" x14ac:dyDescent="0.2">
      <c r="A4" s="1311">
        <v>3</v>
      </c>
      <c r="B4" s="1503"/>
      <c r="C4" s="1491"/>
      <c r="D4" s="1302" t="s">
        <v>603</v>
      </c>
      <c r="E4" s="1301" t="s">
        <v>602</v>
      </c>
      <c r="F4" s="1516" t="s">
        <v>601</v>
      </c>
      <c r="G4" s="1498"/>
      <c r="H4" s="1508"/>
      <c r="I4" s="1511"/>
      <c r="J4" s="1514"/>
      <c r="K4" s="1508"/>
      <c r="L4" s="1494"/>
      <c r="M4" s="1496"/>
      <c r="N4" s="1496"/>
      <c r="O4" s="1497"/>
      <c r="P4" s="1498"/>
      <c r="Q4" s="1500"/>
    </row>
    <row r="5" spans="1:20" ht="15" customHeight="1" x14ac:dyDescent="0.2">
      <c r="A5" s="1311">
        <v>4</v>
      </c>
      <c r="B5" s="1295">
        <v>1</v>
      </c>
      <c r="C5" s="172">
        <v>1</v>
      </c>
      <c r="D5" s="1294">
        <v>8.6</v>
      </c>
      <c r="E5" s="1293">
        <v>11</v>
      </c>
      <c r="F5" s="189">
        <v>1</v>
      </c>
      <c r="G5" s="1300">
        <f t="array" ref="G5:G15">MMULT(X,a)</f>
        <v>1.2671654885808756</v>
      </c>
      <c r="H5" s="1299">
        <f t="shared" ref="H5:H15" si="0">F5-G5</f>
        <v>-0.26716548858087563</v>
      </c>
      <c r="I5" s="1296">
        <f t="array" ref="I5">MMULT(MMULT(C5:E5,INV_XTX),TRANSPOSE(C5:E5))</f>
        <v>0.67529295391029054</v>
      </c>
      <c r="J5" s="1270">
        <f t="shared" ref="J5" si="1">H5^2/MSR*(I5/(1-I5)^2)*1/3</f>
        <v>2.1835255936607113E-2</v>
      </c>
      <c r="K5" s="1269">
        <f t="shared" ref="K5" si="2">H5*SQRT((I5/(1-I5)*(DFR-1)/(MSR*(1-I5)*DFR-H5^2)))</f>
        <v>-0.239883534918893</v>
      </c>
      <c r="L5" s="1296">
        <f t="array" ref="L5:N5">MMULT(C5:E5,INV_XTX)/TRANSPOSE(G$21:G$23)*H5/(1-I5)</f>
        <v>0.13444064014720997</v>
      </c>
      <c r="M5" s="1270">
        <v>-7.4394431904461822E-2</v>
      </c>
      <c r="N5" s="1270">
        <v>-0.19647778850632738</v>
      </c>
      <c r="O5" s="1298">
        <f>F$21-L5*G$21</f>
        <v>14.804380902914684</v>
      </c>
      <c r="P5" s="1297">
        <f>F$22-M5*G$22</f>
        <v>4.8488738603018E-2</v>
      </c>
      <c r="Q5" s="190">
        <f>F$23-N5*G$23</f>
        <v>-1.2180540671088553</v>
      </c>
    </row>
    <row r="6" spans="1:20" ht="15" customHeight="1" x14ac:dyDescent="0.2">
      <c r="A6" s="1311">
        <v>5</v>
      </c>
      <c r="B6" s="164">
        <f>B5+1</f>
        <v>2</v>
      </c>
      <c r="C6" s="172">
        <v>1</v>
      </c>
      <c r="D6" s="1294">
        <v>10.8</v>
      </c>
      <c r="E6" s="1293">
        <v>8.9</v>
      </c>
      <c r="F6" s="172">
        <v>5</v>
      </c>
      <c r="G6" s="1292">
        <v>4.1532525236144959</v>
      </c>
      <c r="H6" s="147">
        <f t="shared" si="0"/>
        <v>0.84674747638550407</v>
      </c>
      <c r="I6" s="1265">
        <f t="array" ref="I6">MMULT(MMULT(C6:E6,INV_XTX),TRANSPOSE(C6:E6))</f>
        <v>0.30743981684401828</v>
      </c>
      <c r="J6" s="1289">
        <f t="shared" ref="J6" si="3">H6^2/MSR*(I6/(1-I6)^2)*1/3</f>
        <v>2.1950361462490259E-2</v>
      </c>
      <c r="K6" s="1264">
        <f t="shared" ref="K6" si="4">H6*SQRT((I6/(1-I6)*(DFR-1)/(MSR*(1-I6)*DFR-H6^2)))</f>
        <v>0.24229796266808978</v>
      </c>
      <c r="L6" s="1265">
        <f t="array" ref="L6:N6">MMULT(C6:E6,INV_XTX)/TRANSPOSE(G$21:G$23)*H6/(1-I6)</f>
        <v>-2.1392667153837839E-2</v>
      </c>
      <c r="M6" s="1289">
        <v>-3.5223703891063142E-2</v>
      </c>
      <c r="N6" s="1289">
        <v>0.10107057408120773</v>
      </c>
      <c r="O6" s="1291">
        <f t="shared" ref="O6:O15" si="5">F$21-L6*G$21</f>
        <v>15.576782743300372</v>
      </c>
      <c r="P6" s="1290">
        <f t="shared" ref="P6:P15" si="6">F$22-M6*G$22</f>
        <v>4.6872773223330617E-2</v>
      </c>
      <c r="Q6" s="173">
        <f t="shared" ref="Q6:Q15" si="7">F$23-N6*G$23</f>
        <v>-1.3826564580535685</v>
      </c>
    </row>
    <row r="7" spans="1:20" ht="15" customHeight="1" x14ac:dyDescent="0.2">
      <c r="A7" s="1311">
        <v>6</v>
      </c>
      <c r="B7" s="1295">
        <f t="shared" ref="B7:B15" si="8">B6+1</f>
        <v>3</v>
      </c>
      <c r="C7" s="172">
        <v>1</v>
      </c>
      <c r="D7" s="1294">
        <v>21.6</v>
      </c>
      <c r="E7" s="1293">
        <v>5.9</v>
      </c>
      <c r="F7" s="172">
        <v>5</v>
      </c>
      <c r="G7" s="1292">
        <v>8.6240186742781315</v>
      </c>
      <c r="H7" s="147">
        <f t="shared" si="0"/>
        <v>-3.6240186742781315</v>
      </c>
      <c r="I7" s="1265">
        <f t="array" ref="I7">MMULT(MMULT(C7:E7,INV_XTX),TRANSPOSE(C7:E7))</f>
        <v>0.26214610167796326</v>
      </c>
      <c r="J7" s="1289">
        <f t="shared" ref="J7" si="9">H7^2/MSR*(I7/(1-I7)^2)*1/3</f>
        <v>0.30204544146992846</v>
      </c>
      <c r="K7" s="1264">
        <f>H7*SQRT((I7/(1-I7)*(DFR-1)/(MSR*(1-I7)*DFR-H7^2)))</f>
        <v>-1.0788630891248236</v>
      </c>
      <c r="L7" s="1265">
        <f t="array" ref="L7:N7">MMULT(C7:E7,INV_XTX)/TRANSPOSE(G$21:G$23)*H7/(1-I7)</f>
        <v>-0.73334250163849612</v>
      </c>
      <c r="M7" s="1289">
        <v>0.75574592872698165</v>
      </c>
      <c r="N7" s="1289">
        <v>0.51285659119849247</v>
      </c>
      <c r="O7" s="1291">
        <f t="shared" si="5"/>
        <v>19.105626300190849</v>
      </c>
      <c r="P7" s="1290">
        <f t="shared" si="6"/>
        <v>1.4241785556785399E-2</v>
      </c>
      <c r="Q7" s="173">
        <f t="shared" si="7"/>
        <v>-1.6104545960963053</v>
      </c>
    </row>
    <row r="8" spans="1:20" ht="15" customHeight="1" x14ac:dyDescent="0.2">
      <c r="A8" s="1311">
        <v>7</v>
      </c>
      <c r="B8" s="180">
        <f t="shared" si="8"/>
        <v>4</v>
      </c>
      <c r="C8" s="172">
        <v>1</v>
      </c>
      <c r="D8" s="1294">
        <v>32.5</v>
      </c>
      <c r="E8" s="1293">
        <v>5.3</v>
      </c>
      <c r="F8" s="172">
        <v>10</v>
      </c>
      <c r="G8" s="1292">
        <v>9.9151395580612842</v>
      </c>
      <c r="H8" s="147">
        <f t="shared" si="0"/>
        <v>8.486044193871578E-2</v>
      </c>
      <c r="I8" s="1265">
        <f t="array" ref="I8">MMULT(MMULT(C8:E8,INV_XTX),TRANSPOSE(C8:E8))</f>
        <v>0.2038613146745657</v>
      </c>
      <c r="J8" s="1289">
        <f t="shared" ref="J8" si="10">H8^2/MSR*(I8/(1-I8)^2)*1/3</f>
        <v>1.1062587649226103E-4</v>
      </c>
      <c r="K8" s="1264">
        <f t="shared" ref="K8" si="11">H8*SQRT((I8/(1-I8)*(DFR-1)/(MSR*(1-I8)*DFR-H8^2)))</f>
        <v>1.7042299726905807E-2</v>
      </c>
      <c r="L8" s="1265">
        <f t="array" ref="L8:N8">MMULT(C8:E8,INV_XTX)/TRANSPOSE(G$21:G$23)*H8/(1-I8)</f>
        <v>1.4407136457184656E-2</v>
      </c>
      <c r="M8" s="1289">
        <v>-1.3560209574156412E-2</v>
      </c>
      <c r="N8" s="1289">
        <v>-1.0743614765766532E-2</v>
      </c>
      <c r="O8" s="1291">
        <f t="shared" si="5"/>
        <v>15.399337788344878</v>
      </c>
      <c r="P8" s="1290">
        <f t="shared" si="6"/>
        <v>4.5979058488000678E-2</v>
      </c>
      <c r="Q8" s="173">
        <f t="shared" si="7"/>
        <v>-1.3208013610679779</v>
      </c>
    </row>
    <row r="9" spans="1:20" ht="15" customHeight="1" x14ac:dyDescent="0.2">
      <c r="A9" s="1311">
        <v>8</v>
      </c>
      <c r="B9" s="164">
        <f t="shared" si="8"/>
        <v>5</v>
      </c>
      <c r="C9" s="172">
        <v>1</v>
      </c>
      <c r="D9" s="1294">
        <v>43.5</v>
      </c>
      <c r="E9" s="1293">
        <v>4.9000000000000004</v>
      </c>
      <c r="F9" s="172">
        <v>15</v>
      </c>
      <c r="G9" s="1292">
        <v>10.94545346993826</v>
      </c>
      <c r="H9" s="147">
        <f t="shared" si="0"/>
        <v>4.0545465300617405</v>
      </c>
      <c r="I9" s="1265">
        <f t="array" ref="I9">MMULT(MMULT(C9:E9,INV_XTX),TRANSPOSE(C9:E9))</f>
        <v>0.14666928801821733</v>
      </c>
      <c r="J9" s="1289">
        <f t="shared" ref="J9" si="12">H9^2/MSR*(I9/(1-I9)^2)*1/3</f>
        <v>0.15815312899592268</v>
      </c>
      <c r="K9" s="1264">
        <f t="shared" ref="K9" si="13">H9*SQRT((I9/(1-I9)*(DFR-1)/(MSR*(1-I9)*DFR-H9^2)))</f>
        <v>0.79616090742877255</v>
      </c>
      <c r="L9" s="1265">
        <f t="array" ref="L9:N9">MMULT(C9:E9,INV_XTX)/TRANSPOSE(G$21:G$23)*H9/(1-I9)</f>
        <v>0.50099712161791166</v>
      </c>
      <c r="M9" s="1289">
        <v>-0.41518749722302006</v>
      </c>
      <c r="N9" s="1289">
        <v>-0.38413774162073488</v>
      </c>
      <c r="O9" s="1291">
        <f t="shared" si="5"/>
        <v>12.987510647146397</v>
      </c>
      <c r="P9" s="1290">
        <f t="shared" si="6"/>
        <v>6.2547956368997654E-2</v>
      </c>
      <c r="Q9" s="173">
        <f t="shared" si="7"/>
        <v>-1.1142414408232142</v>
      </c>
    </row>
    <row r="10" spans="1:20" ht="15" customHeight="1" x14ac:dyDescent="0.2">
      <c r="A10" s="1311">
        <v>9</v>
      </c>
      <c r="B10" s="164">
        <f t="shared" si="8"/>
        <v>6</v>
      </c>
      <c r="C10" s="172">
        <v>1</v>
      </c>
      <c r="D10" s="1294">
        <v>54.9</v>
      </c>
      <c r="E10" s="1293">
        <v>3.7</v>
      </c>
      <c r="F10" s="172">
        <v>15</v>
      </c>
      <c r="G10" s="1292">
        <v>13.055330981444566</v>
      </c>
      <c r="H10" s="147">
        <f t="shared" si="0"/>
        <v>1.9446690185554338</v>
      </c>
      <c r="I10" s="1265">
        <f t="array" ref="I10">MMULT(MMULT(C10:E10,INV_XTX),TRANSPOSE(C10:E10))</f>
        <v>0.19557950299143362</v>
      </c>
      <c r="J10" s="1289">
        <f t="shared" ref="J10" si="14">H10^2/MSR*(I10/(1-I10)^2)*1/3</f>
        <v>5.4593036779195699E-2</v>
      </c>
      <c r="K10" s="1264">
        <f t="shared" ref="K10" si="15">H10*SQRT((I10/(1-I10)*(DFR-1)/(MSR*(1-I10)*DFR-H10^2)))</f>
        <v>0.39557943548449365</v>
      </c>
      <c r="L10" s="1265">
        <f t="array" ref="L10:N10">MMULT(C10:E10,INV_XTX)/TRANSPOSE(G$21:G$23)*H10/(1-I10)</f>
        <v>0.32316900906082713</v>
      </c>
      <c r="M10" s="1289">
        <v>-0.23099993850746753</v>
      </c>
      <c r="N10" s="1289">
        <v>-0.29598208488595251</v>
      </c>
      <c r="O10" s="1291">
        <f t="shared" si="5"/>
        <v>13.868931723232883</v>
      </c>
      <c r="P10" s="1290">
        <f t="shared" si="6"/>
        <v>5.4949406805362797E-2</v>
      </c>
      <c r="Q10" s="173">
        <f t="shared" si="7"/>
        <v>-1.1630087462375658</v>
      </c>
    </row>
    <row r="11" spans="1:20" ht="15" customHeight="1" x14ac:dyDescent="0.2">
      <c r="A11" s="1311">
        <v>10</v>
      </c>
      <c r="B11" s="164">
        <f t="shared" si="8"/>
        <v>7</v>
      </c>
      <c r="C11" s="172">
        <v>1</v>
      </c>
      <c r="D11" s="1294">
        <v>64.900000000000006</v>
      </c>
      <c r="E11" s="1293">
        <v>3.2</v>
      </c>
      <c r="F11" s="172">
        <v>15</v>
      </c>
      <c r="G11" s="1292">
        <v>14.172899721269147</v>
      </c>
      <c r="H11" s="147">
        <f t="shared" si="0"/>
        <v>0.82710027873085323</v>
      </c>
      <c r="I11" s="1265">
        <f t="array" ref="I11">MMULT(MMULT(C11:E11,INV_XTX),TRANSPOSE(C11:E11))</f>
        <v>0.19384112703463036</v>
      </c>
      <c r="J11" s="1289">
        <f t="shared" ref="J11" si="16">H11^2/MSR*(I11/(1-I11)^2)*1/3</f>
        <v>9.745626523887144E-3</v>
      </c>
      <c r="K11" s="1264">
        <f t="shared" ref="K11" si="17">H11*SQRT((I11/(1-I11)*(DFR-1)/(MSR*(1-I11)*DFR-H11^2)))</f>
        <v>0.16117411756459654</v>
      </c>
      <c r="L11" s="1265">
        <f t="array" ref="L11:N11">MMULT(C11:E11,INV_XTX)/TRANSPOSE(G$21:G$23)*H11/(1-I11)</f>
        <v>0.11994687160226615</v>
      </c>
      <c r="M11" s="1289">
        <v>-6.9689688121664026E-2</v>
      </c>
      <c r="N11" s="1289">
        <v>-0.1180996694350646</v>
      </c>
      <c r="O11" s="1291">
        <f t="shared" si="5"/>
        <v>14.876220573727878</v>
      </c>
      <c r="P11" s="1290">
        <f t="shared" si="6"/>
        <v>4.8294647161299067E-2</v>
      </c>
      <c r="Q11" s="173">
        <f t="shared" si="7"/>
        <v>-1.2614124834842233</v>
      </c>
    </row>
    <row r="12" spans="1:20" ht="15" customHeight="1" x14ac:dyDescent="0.2">
      <c r="A12" s="1311">
        <v>11</v>
      </c>
      <c r="B12" s="164">
        <f t="shared" si="8"/>
        <v>8</v>
      </c>
      <c r="C12" s="172">
        <v>1</v>
      </c>
      <c r="D12" s="1294">
        <v>75.5</v>
      </c>
      <c r="E12" s="1293">
        <v>3.5</v>
      </c>
      <c r="F12" s="172">
        <v>10</v>
      </c>
      <c r="G12" s="1292">
        <v>14.256324501470171</v>
      </c>
      <c r="H12" s="147">
        <f t="shared" si="0"/>
        <v>-4.2563245014701714</v>
      </c>
      <c r="I12" s="1265">
        <f t="array" ref="I12">MMULT(MMULT(C12:E12,INV_XTX),TRANSPOSE(C12:E12))</f>
        <v>0.14409588580785854</v>
      </c>
      <c r="J12" s="1289">
        <f t="shared" ref="J12" si="18">H12^2/MSR*(I12/(1-I12)^2)*1/3</f>
        <v>0.17020001566344087</v>
      </c>
      <c r="K12" s="1264">
        <f t="shared" ref="K12" si="19">H12*SQRT((I12/(1-I12)*(DFR-1)/(MSR*(1-I12)*DFR-H12^2)))</f>
        <v>-0.8482753782240906</v>
      </c>
      <c r="L12" s="1265">
        <f t="array" ref="L12:N12">MMULT(C12:E12,INV_XTX)/TRANSPOSE(G$21:G$23)*H12/(1-I12)</f>
        <v>-0.18271553896318782</v>
      </c>
      <c r="M12" s="1289">
        <v>-6.7753070586366648E-2</v>
      </c>
      <c r="N12" s="1289">
        <v>0.20664505244015452</v>
      </c>
      <c r="O12" s="1291">
        <f t="shared" si="5"/>
        <v>16.376394105209833</v>
      </c>
      <c r="P12" s="1290">
        <f t="shared" si="6"/>
        <v>4.8214753142232954E-2</v>
      </c>
      <c r="Q12" s="173">
        <f t="shared" si="7"/>
        <v>-1.4410597757848538</v>
      </c>
      <c r="R12" s="1289"/>
      <c r="S12" s="1289"/>
      <c r="T12" s="1289"/>
    </row>
    <row r="13" spans="1:20" ht="15" customHeight="1" x14ac:dyDescent="0.2">
      <c r="A13" s="1311">
        <v>12</v>
      </c>
      <c r="B13" s="164">
        <f t="shared" si="8"/>
        <v>9</v>
      </c>
      <c r="C13" s="172">
        <v>1</v>
      </c>
      <c r="D13" s="1294">
        <v>86.3</v>
      </c>
      <c r="E13" s="1293">
        <v>4</v>
      </c>
      <c r="F13" s="172">
        <v>13</v>
      </c>
      <c r="G13" s="1292">
        <v>14.083484273765595</v>
      </c>
      <c r="H13" s="147">
        <f t="shared" si="0"/>
        <v>-1.0834842737655954</v>
      </c>
      <c r="I13" s="1265">
        <f t="array" ref="I13">MMULT(MMULT(C13:E13,INV_XTX),TRANSPOSE(C13:E13))</f>
        <v>0.20071094419117763</v>
      </c>
      <c r="J13" s="1289">
        <f t="shared" ref="J13" si="20">H13^2/MSR*(I13/(1-I13)^2)*1/3</f>
        <v>1.7615595355133493E-2</v>
      </c>
      <c r="K13" s="1264">
        <f t="shared" ref="K13" si="21">H13*SQRT((I13/(1-I13)*(DFR-1)/(MSR*(1-I13)*DFR-H13^2)))</f>
        <v>-0.21792254331085331</v>
      </c>
      <c r="L13" s="1265">
        <f t="array" ref="L13:N13">MMULT(C13:E13,INV_XTX)/TRANSPOSE(G$21:G$23)*H13/(1-I13)</f>
        <v>8.0718895635622012E-2</v>
      </c>
      <c r="M13" s="1289">
        <v>-0.14768812005811119</v>
      </c>
      <c r="N13" s="1289">
        <v>-6.6142415365882348E-2</v>
      </c>
      <c r="O13" s="1291">
        <f t="shared" si="5"/>
        <v>15.070657574110003</v>
      </c>
      <c r="P13" s="1290">
        <f t="shared" si="6"/>
        <v>5.1512426663280431E-2</v>
      </c>
      <c r="Q13" s="173">
        <f t="shared" si="7"/>
        <v>-1.2901549983894878</v>
      </c>
    </row>
    <row r="14" spans="1:20" ht="15" customHeight="1" x14ac:dyDescent="0.2">
      <c r="A14" s="1311">
        <v>13</v>
      </c>
      <c r="B14" s="164">
        <f t="shared" si="8"/>
        <v>10</v>
      </c>
      <c r="C14" s="172">
        <v>1</v>
      </c>
      <c r="D14" s="1294">
        <v>96.7</v>
      </c>
      <c r="E14" s="1293">
        <v>3.8</v>
      </c>
      <c r="F14" s="172">
        <v>15</v>
      </c>
      <c r="G14" s="1292">
        <v>14.821197465732354</v>
      </c>
      <c r="H14" s="147">
        <f t="shared" si="0"/>
        <v>0.17880253426764625</v>
      </c>
      <c r="I14" s="1265">
        <f t="array" ref="I14">MMULT(MMULT(C14:E14,INV_XTX),TRANSPOSE(C14:E14))</f>
        <v>0.30072716151266232</v>
      </c>
      <c r="J14" s="1289">
        <f t="shared" ref="J14" si="22">H14^2/MSR*(I14/(1-I14)^2)*1/3</f>
        <v>9.3910781903136899E-4</v>
      </c>
      <c r="K14" s="1264">
        <f t="shared" ref="K14" si="23">H14*SQRT((I14/(1-I14)*(DFR-1)/(MSR*(1-I14)*DFR-H14^2)))</f>
        <v>4.9670699110492163E-2</v>
      </c>
      <c r="L14" s="1265">
        <f t="array" ref="L14:N14">MMULT(C14:E14,INV_XTX)/TRANSPOSE(G$21:G$23)*H14/(1-I14)</f>
        <v>-2.5836232202274365E-2</v>
      </c>
      <c r="M14" s="1289">
        <v>4.0357692187951578E-2</v>
      </c>
      <c r="N14" s="1289">
        <v>2.0910037947361314E-2</v>
      </c>
      <c r="O14" s="1291">
        <f t="shared" si="5"/>
        <v>15.598807674175101</v>
      </c>
      <c r="P14" s="1290">
        <f t="shared" si="6"/>
        <v>4.3754707116151051E-2</v>
      </c>
      <c r="Q14" s="173">
        <f t="shared" si="7"/>
        <v>-1.3383120167254483</v>
      </c>
    </row>
    <row r="15" spans="1:20" ht="15" customHeight="1" x14ac:dyDescent="0.2">
      <c r="A15" s="1311">
        <v>14</v>
      </c>
      <c r="B15" s="151">
        <f t="shared" si="8"/>
        <v>11</v>
      </c>
      <c r="C15" s="160">
        <v>1</v>
      </c>
      <c r="D15" s="1288">
        <v>100</v>
      </c>
      <c r="E15" s="1287">
        <v>4</v>
      </c>
      <c r="F15" s="160">
        <v>16</v>
      </c>
      <c r="G15" s="1286">
        <v>14.705733341844642</v>
      </c>
      <c r="H15" s="1285">
        <f t="shared" si="0"/>
        <v>1.2942666581553581</v>
      </c>
      <c r="I15" s="1260">
        <f t="array" ref="I15">MMULT(MMULT(C15:E15,INV_XTX),TRANSPOSE(C15:E15))</f>
        <v>0.36963590333717466</v>
      </c>
      <c r="J15" s="1259">
        <f t="shared" ref="J15" si="24">H15^2/MSR*(I15/(1-I15)^2)*1/3</f>
        <v>7.442648639791806E-2</v>
      </c>
      <c r="K15" s="1257">
        <f t="shared" ref="K15" si="25">H15*SQRT((I15/(1-I15)*(DFR-1)/(MSR*(1-I15)*DFR-H15^2)))</f>
        <v>0.45291629720690352</v>
      </c>
      <c r="L15" s="1260">
        <f t="array" ref="L15:N15">MMULT(C15:E15,INV_XTX)/TRANSPOSE(G$21:G$23)*H15/(1-I15)</f>
        <v>-0.27515682244760098</v>
      </c>
      <c r="M15" s="1259">
        <v>0.38997389038492442</v>
      </c>
      <c r="N15" s="1259">
        <v>0.23227030444443506</v>
      </c>
      <c r="O15" s="1284">
        <f t="shared" si="5"/>
        <v>16.83458766297754</v>
      </c>
      <c r="P15" s="1283">
        <f t="shared" si="6"/>
        <v>2.9331496184994012E-2</v>
      </c>
      <c r="Q15" s="161">
        <f t="shared" si="7"/>
        <v>-1.4552355477897307</v>
      </c>
    </row>
    <row r="16" spans="1:20" ht="15" customHeight="1" x14ac:dyDescent="0.2">
      <c r="A16" s="1311">
        <v>15</v>
      </c>
      <c r="C16" s="1480" t="s">
        <v>600</v>
      </c>
      <c r="D16" s="1481"/>
      <c r="E16" s="1482"/>
      <c r="F16" s="214" t="s">
        <v>80</v>
      </c>
      <c r="G16" s="220"/>
      <c r="I16" s="1483" t="s">
        <v>589</v>
      </c>
      <c r="J16" s="1481"/>
      <c r="K16" s="1481"/>
      <c r="L16" s="1481"/>
      <c r="M16" s="1481"/>
      <c r="N16" s="1482"/>
      <c r="O16" s="1484" t="s">
        <v>599</v>
      </c>
      <c r="P16" s="1485"/>
      <c r="Q16" s="1486"/>
    </row>
    <row r="17" spans="1:17" ht="15" customHeight="1" x14ac:dyDescent="0.2">
      <c r="A17" s="1311">
        <v>16</v>
      </c>
      <c r="C17" s="1275">
        <f t="array" ref="C17:E19">MMULT(TRANSPOSE(X),X)</f>
        <v>11</v>
      </c>
      <c r="D17" s="222">
        <v>595.29999999999995</v>
      </c>
      <c r="E17" s="220">
        <v>58.2</v>
      </c>
      <c r="F17" s="1282">
        <f t="array" ref="F17:F19">MMULT(TRANSPOSE(X),y)</f>
        <v>120</v>
      </c>
      <c r="G17" s="166"/>
      <c r="I17" s="1278">
        <f>2*m/n</f>
        <v>0.54545454545454541</v>
      </c>
      <c r="J17" s="1281">
        <f>4/n</f>
        <v>0.36363636363636365</v>
      </c>
      <c r="K17" s="1280">
        <f>2*SQRT(m/n)</f>
        <v>1.044465935734187</v>
      </c>
      <c r="L17" s="1278">
        <f>2/SQRT(n)</f>
        <v>0.60302268915552726</v>
      </c>
      <c r="M17" s="1279">
        <f>2/SQRT(n)</f>
        <v>0.60302268915552726</v>
      </c>
      <c r="N17" s="1279">
        <f>2/SQRT(n)</f>
        <v>0.60302268915552726</v>
      </c>
      <c r="O17" s="1278">
        <f t="array" ref="O17:Q17">TRANSPOSE(a)</f>
        <v>15.47074805940278</v>
      </c>
      <c r="P17" s="1277">
        <v>4.541964000576959E-2</v>
      </c>
      <c r="Q17" s="226">
        <v>-1.3267446795337747</v>
      </c>
    </row>
    <row r="18" spans="1:17" ht="15" customHeight="1" x14ac:dyDescent="0.2">
      <c r="A18" s="1311">
        <v>17</v>
      </c>
      <c r="C18" s="224">
        <v>595.29999999999995</v>
      </c>
      <c r="D18" s="1275">
        <v>43330.51</v>
      </c>
      <c r="E18" s="166">
        <v>2491.2800000000002</v>
      </c>
      <c r="F18" s="1276">
        <v>7872.5</v>
      </c>
      <c r="G18" s="166"/>
      <c r="I18" s="1480" t="s">
        <v>276</v>
      </c>
      <c r="J18" s="1487"/>
      <c r="K18" s="1487"/>
      <c r="L18" s="1487"/>
      <c r="M18" s="1487"/>
      <c r="N18" s="1488"/>
    </row>
    <row r="19" spans="1:17" ht="15" customHeight="1" x14ac:dyDescent="0.2">
      <c r="A19" s="1311">
        <v>18</v>
      </c>
      <c r="C19" s="217">
        <v>58.2</v>
      </c>
      <c r="D19" s="155">
        <v>2491.2800000000002</v>
      </c>
      <c r="E19" s="1275">
        <v>369.74</v>
      </c>
      <c r="F19" s="1274">
        <v>523</v>
      </c>
      <c r="G19" s="166"/>
      <c r="I19" s="214"/>
      <c r="J19" s="202" t="s">
        <v>30</v>
      </c>
      <c r="K19" s="201" t="s">
        <v>31</v>
      </c>
      <c r="L19" s="214" t="s">
        <v>32</v>
      </c>
      <c r="M19" s="213" t="s">
        <v>3</v>
      </c>
      <c r="N19" s="214" t="s">
        <v>33</v>
      </c>
      <c r="O19" s="214" t="s">
        <v>598</v>
      </c>
      <c r="P19" s="1273">
        <f>AVERAGE(y)</f>
        <v>10.909090909090908</v>
      </c>
    </row>
    <row r="20" spans="1:17" ht="17" x14ac:dyDescent="0.2">
      <c r="A20" s="1311">
        <v>19</v>
      </c>
      <c r="B20" s="144"/>
      <c r="C20" s="1480" t="s">
        <v>597</v>
      </c>
      <c r="D20" s="1481"/>
      <c r="E20" s="1481"/>
      <c r="F20" s="214" t="s">
        <v>39</v>
      </c>
      <c r="G20" s="214" t="s">
        <v>183</v>
      </c>
      <c r="I20" s="182" t="s">
        <v>5</v>
      </c>
      <c r="J20" s="1272">
        <f>SUMSQ(y_hat)-n*y_bar^2</f>
        <v>211.07750658667601</v>
      </c>
      <c r="K20" s="179">
        <f>3-1</f>
        <v>2</v>
      </c>
      <c r="L20" s="180">
        <f>J20/K20</f>
        <v>105.538753293338</v>
      </c>
      <c r="M20" s="177">
        <f>L20/L21</f>
        <v>15.122444340303893</v>
      </c>
      <c r="N20" s="180">
        <f>FDIST(M20,K20,K21)</f>
        <v>1.9145483713217007E-3</v>
      </c>
      <c r="O20" s="238" t="s">
        <v>324</v>
      </c>
      <c r="P20" s="1271">
        <f>COUNT(a)</f>
        <v>3</v>
      </c>
    </row>
    <row r="21" spans="1:17" x14ac:dyDescent="0.2">
      <c r="A21" s="1311">
        <v>20</v>
      </c>
      <c r="B21" s="144"/>
      <c r="C21" s="1258">
        <f t="array" ref="C21:E23">MINVERSE(MMULT(TRANSPOSE(X),X))</f>
        <v>3.5202706842836058</v>
      </c>
      <c r="D21" s="1270">
        <v>-2.6941707541500787E-2</v>
      </c>
      <c r="E21" s="358">
        <v>-0.37258726851656787</v>
      </c>
      <c r="F21" s="1269">
        <f t="array" ref="F21:F23">MMULT(INV_XTX,XTy)</f>
        <v>15.47074805940278</v>
      </c>
      <c r="G21" s="1269">
        <f>SQRT(C21*MSR)</f>
        <v>4.9565901780773851</v>
      </c>
      <c r="I21" s="153" t="s">
        <v>6</v>
      </c>
      <c r="J21" s="1263">
        <f>SUMSQ(y)-SUMSQ(y_hat)</f>
        <v>55.831584322414983</v>
      </c>
      <c r="K21" s="149">
        <f>n-3</f>
        <v>8</v>
      </c>
      <c r="L21" s="1268">
        <f>J21/K21</f>
        <v>6.9789480403018729</v>
      </c>
      <c r="M21" s="1267" t="s">
        <v>262</v>
      </c>
      <c r="N21" s="180">
        <f>SQRT(MSR)</f>
        <v>2.6417698689139963</v>
      </c>
      <c r="O21" s="1266" t="s">
        <v>325</v>
      </c>
      <c r="P21" s="1135">
        <f>COUNT(y)</f>
        <v>11</v>
      </c>
    </row>
    <row r="22" spans="1:17" ht="17" x14ac:dyDescent="0.2">
      <c r="A22" s="1311">
        <v>21</v>
      </c>
      <c r="B22" s="144"/>
      <c r="C22" s="1265">
        <v>-2.6941707541500791E-2</v>
      </c>
      <c r="D22" s="1258">
        <v>2.4386577437879179E-4</v>
      </c>
      <c r="E22" s="301">
        <v>2.597688788123951E-3</v>
      </c>
      <c r="F22" s="1264">
        <v>4.541964000576959E-2</v>
      </c>
      <c r="G22" s="1264">
        <f>SQRT(D22*MSR)</f>
        <v>4.1254412711824749E-2</v>
      </c>
      <c r="I22" s="153" t="s">
        <v>7</v>
      </c>
      <c r="J22" s="1263">
        <f>SUMSQ(y)-n*y_bar^2</f>
        <v>266.90909090909099</v>
      </c>
      <c r="K22" s="149">
        <f>n-1</f>
        <v>10</v>
      </c>
      <c r="L22" s="1262">
        <f>J22/K22</f>
        <v>26.690909090909098</v>
      </c>
      <c r="M22" s="1261" t="s">
        <v>596</v>
      </c>
      <c r="N22" s="151">
        <f>J20/J22</f>
        <v>0.79082172086288671</v>
      </c>
    </row>
    <row r="23" spans="1:17" x14ac:dyDescent="0.2">
      <c r="A23" s="1311">
        <v>22</v>
      </c>
      <c r="B23" s="144"/>
      <c r="C23" s="1260">
        <v>-0.37258726851656782</v>
      </c>
      <c r="D23" s="1259">
        <v>2.5976887881239501E-3</v>
      </c>
      <c r="E23" s="1258">
        <v>4.384975632494946E-2</v>
      </c>
      <c r="F23" s="1257">
        <v>-1.3267446795337747</v>
      </c>
      <c r="G23" s="1257">
        <f>SQRT(E23*MSR)</f>
        <v>0.55319541842979925</v>
      </c>
    </row>
    <row r="24" spans="1:17" x14ac:dyDescent="0.2">
      <c r="B24" s="144"/>
    </row>
    <row r="25" spans="1:17" x14ac:dyDescent="0.2">
      <c r="B25" s="144"/>
      <c r="D25" s="144"/>
      <c r="E25" s="144"/>
      <c r="F25" s="144"/>
    </row>
    <row r="28" spans="1:17" x14ac:dyDescent="0.2">
      <c r="D28" s="1256"/>
      <c r="E28" s="145"/>
      <c r="G28" s="143"/>
      <c r="N28" s="143"/>
      <c r="O28" s="143"/>
    </row>
    <row r="29" spans="1:17" x14ac:dyDescent="0.2">
      <c r="D29" s="1256"/>
      <c r="E29" s="1256"/>
      <c r="F29" s="1256"/>
      <c r="G29" s="1256"/>
      <c r="N29" s="1256"/>
    </row>
    <row r="30" spans="1:17" x14ac:dyDescent="0.2">
      <c r="D30" s="1256"/>
      <c r="E30" s="1256"/>
      <c r="F30" s="1256"/>
      <c r="G30" s="1256"/>
      <c r="N30" s="1256"/>
      <c r="O30" s="1256"/>
    </row>
    <row r="31" spans="1:17" x14ac:dyDescent="0.2">
      <c r="D31" s="1256"/>
      <c r="E31" s="1256"/>
      <c r="F31" s="1256"/>
      <c r="G31" s="1256"/>
      <c r="N31" s="1256"/>
      <c r="O31" s="1256"/>
    </row>
    <row r="32" spans="1:17" x14ac:dyDescent="0.2">
      <c r="D32" s="1256"/>
      <c r="E32" s="1256"/>
      <c r="F32" s="1256"/>
      <c r="G32" s="1256"/>
      <c r="H32" s="1256"/>
      <c r="I32" s="1256"/>
      <c r="J32" s="1256"/>
      <c r="K32" s="1256"/>
      <c r="L32" s="1256"/>
      <c r="M32" s="1256"/>
      <c r="N32" s="1256"/>
      <c r="O32" s="1256"/>
    </row>
    <row r="33" spans="4:15" x14ac:dyDescent="0.2">
      <c r="D33" s="1256"/>
      <c r="E33" s="1256"/>
      <c r="F33" s="1256"/>
      <c r="G33" s="1256"/>
      <c r="H33" s="1256"/>
      <c r="I33" s="1256"/>
      <c r="J33" s="1256"/>
      <c r="K33" s="1256"/>
      <c r="L33" s="1256"/>
      <c r="M33" s="1256"/>
      <c r="N33" s="1256"/>
      <c r="O33" s="1256"/>
    </row>
    <row r="34" spans="4:15" x14ac:dyDescent="0.2">
      <c r="D34" s="1256"/>
      <c r="E34" s="1256"/>
      <c r="F34" s="1256"/>
      <c r="G34" s="1256"/>
      <c r="H34" s="1256"/>
      <c r="I34" s="1256"/>
      <c r="J34" s="1256"/>
      <c r="K34" s="1256"/>
      <c r="L34" s="1256"/>
      <c r="M34" s="1256"/>
      <c r="N34" s="1256"/>
      <c r="O34" s="1256"/>
    </row>
    <row r="35" spans="4:15" x14ac:dyDescent="0.2">
      <c r="D35" s="1256"/>
      <c r="E35" s="1256"/>
      <c r="F35" s="1256"/>
      <c r="G35" s="1256"/>
      <c r="H35" s="1256"/>
      <c r="I35" s="1256"/>
      <c r="J35" s="1256"/>
      <c r="K35" s="1256"/>
      <c r="L35" s="1256"/>
      <c r="M35" s="1256"/>
      <c r="N35" s="1256"/>
      <c r="O35" s="1256"/>
    </row>
    <row r="36" spans="4:15" x14ac:dyDescent="0.2">
      <c r="D36" s="1256"/>
      <c r="E36" s="1256"/>
      <c r="F36" s="1256"/>
      <c r="G36" s="1256"/>
      <c r="H36" s="1256"/>
      <c r="I36" s="1256"/>
      <c r="J36" s="1256"/>
      <c r="K36" s="1256"/>
      <c r="L36" s="1256"/>
      <c r="M36" s="1256"/>
      <c r="N36" s="1256"/>
      <c r="O36" s="1256"/>
    </row>
    <row r="37" spans="4:15" x14ac:dyDescent="0.2">
      <c r="D37" s="1256"/>
      <c r="E37" s="1256"/>
      <c r="F37" s="1256"/>
      <c r="G37" s="1256"/>
      <c r="H37" s="1256"/>
      <c r="I37" s="1256"/>
      <c r="J37" s="1256"/>
      <c r="K37" s="1256"/>
      <c r="L37" s="1256"/>
      <c r="M37" s="1256"/>
      <c r="N37" s="1256"/>
      <c r="O37" s="1256"/>
    </row>
    <row r="38" spans="4:15" x14ac:dyDescent="0.2">
      <c r="D38" s="1256"/>
      <c r="E38" s="1256"/>
      <c r="F38" s="1256"/>
      <c r="G38" s="1256"/>
      <c r="H38" s="1256"/>
      <c r="I38" s="1256"/>
      <c r="J38" s="1256"/>
      <c r="K38" s="1256"/>
      <c r="L38" s="1256"/>
      <c r="M38" s="1256"/>
      <c r="N38" s="1256"/>
      <c r="O38" s="1256"/>
    </row>
    <row r="39" spans="4:15" x14ac:dyDescent="0.2">
      <c r="D39" s="1256"/>
      <c r="E39" s="1256"/>
      <c r="F39" s="1256"/>
      <c r="G39" s="1256"/>
      <c r="H39" s="1256"/>
      <c r="I39" s="1256"/>
      <c r="J39" s="1256"/>
      <c r="K39" s="1256"/>
      <c r="L39" s="1256"/>
      <c r="M39" s="1256"/>
      <c r="N39" s="1256"/>
      <c r="O39" s="1256"/>
    </row>
  </sheetData>
  <mergeCells count="22">
    <mergeCell ref="B2:B4"/>
    <mergeCell ref="C2:E2"/>
    <mergeCell ref="H2:H4"/>
    <mergeCell ref="I2:I4"/>
    <mergeCell ref="J2:J4"/>
    <mergeCell ref="F4:G4"/>
    <mergeCell ref="L2:N2"/>
    <mergeCell ref="O2:Q2"/>
    <mergeCell ref="C3:C4"/>
    <mergeCell ref="F3:G3"/>
    <mergeCell ref="L3:L4"/>
    <mergeCell ref="M3:M4"/>
    <mergeCell ref="N3:N4"/>
    <mergeCell ref="O3:O4"/>
    <mergeCell ref="P3:P4"/>
    <mergeCell ref="Q3:Q4"/>
    <mergeCell ref="K2:K4"/>
    <mergeCell ref="C16:E16"/>
    <mergeCell ref="I16:N16"/>
    <mergeCell ref="O16:Q16"/>
    <mergeCell ref="I18:N18"/>
    <mergeCell ref="C20:E20"/>
  </mergeCells>
  <conditionalFormatting sqref="C17:E19 G21:G23">
    <cfRule type="cellIs" dxfId="25" priority="3" operator="between">
      <formula>-0.0001</formula>
      <formula>0.0001</formula>
    </cfRule>
  </conditionalFormatting>
  <conditionalFormatting sqref="C21:E23">
    <cfRule type="cellIs" dxfId="24" priority="2" operator="between">
      <formula>-0.0001</formula>
      <formula>0.0001</formula>
    </cfRule>
  </conditionalFormatting>
  <conditionalFormatting sqref="I5:N15">
    <cfRule type="expression" dxfId="23" priority="4">
      <formula>ABS(I5)&gt;I$17</formula>
    </cfRule>
  </conditionalFormatting>
  <conditionalFormatting sqref="O5:Q15">
    <cfRule type="expression" dxfId="22" priority="1">
      <formula>ABS(L5)&gt;L$17</formula>
    </cfRule>
  </conditionalFormatting>
  <pageMargins left="0.7" right="0.7" top="0.75" bottom="0.75" header="0.3" footer="0.3"/>
  <pageSetup orientation="portrait" horizontalDpi="360" verticalDpi="36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4D2EE-FBF3-4C52-942A-1AFD7BAD39A0}">
  <dimension ref="A1:U32"/>
  <sheetViews>
    <sheetView zoomScaleNormal="100" workbookViewId="0">
      <selection activeCell="P28" sqref="P28"/>
    </sheetView>
  </sheetViews>
  <sheetFormatPr baseColWidth="10" defaultColWidth="6.83203125" defaultRowHeight="16" x14ac:dyDescent="0.2"/>
  <cols>
    <col min="1" max="30" width="6.83203125" customWidth="1"/>
  </cols>
  <sheetData>
    <row r="1" spans="1:21" ht="19" x14ac:dyDescent="0.25">
      <c r="A1" s="504"/>
      <c r="B1" s="504" t="s">
        <v>68</v>
      </c>
      <c r="C1" s="70" t="s">
        <v>66</v>
      </c>
      <c r="D1" s="69" t="s">
        <v>77</v>
      </c>
      <c r="E1" s="70" t="s">
        <v>16</v>
      </c>
      <c r="F1" s="70" t="s">
        <v>198</v>
      </c>
      <c r="G1" s="1357" t="s">
        <v>14</v>
      </c>
      <c r="H1" s="1517"/>
      <c r="I1" s="1517"/>
      <c r="J1" s="1517"/>
      <c r="K1" s="1517"/>
      <c r="L1" s="1518"/>
      <c r="M1" s="1357" t="s">
        <v>197</v>
      </c>
      <c r="N1" s="1519"/>
      <c r="O1" s="1519"/>
      <c r="P1" s="1519"/>
      <c r="Q1" s="1520"/>
      <c r="R1" s="1452" t="s">
        <v>196</v>
      </c>
      <c r="S1" s="130" t="s">
        <v>16</v>
      </c>
      <c r="T1" s="1"/>
      <c r="U1" s="1"/>
    </row>
    <row r="2" spans="1:21" ht="15" customHeight="1" x14ac:dyDescent="0.2">
      <c r="A2" s="502" t="s">
        <v>10</v>
      </c>
      <c r="B2" s="502" t="s">
        <v>195</v>
      </c>
      <c r="C2" s="446" t="s">
        <v>19</v>
      </c>
      <c r="D2" s="91" t="s">
        <v>18</v>
      </c>
      <c r="E2" s="446" t="s">
        <v>18</v>
      </c>
      <c r="F2" s="458" t="s">
        <v>18</v>
      </c>
      <c r="G2" s="130">
        <v>0</v>
      </c>
      <c r="H2" s="71">
        <v>1</v>
      </c>
      <c r="I2" s="71">
        <v>2</v>
      </c>
      <c r="J2" s="130">
        <v>12</v>
      </c>
      <c r="K2" s="71">
        <v>11</v>
      </c>
      <c r="L2" s="70">
        <v>22</v>
      </c>
      <c r="M2" s="71">
        <v>1</v>
      </c>
      <c r="N2" s="71">
        <v>2</v>
      </c>
      <c r="O2" s="130">
        <v>12</v>
      </c>
      <c r="P2" s="71">
        <v>11</v>
      </c>
      <c r="Q2" s="70">
        <v>22</v>
      </c>
      <c r="R2" s="1453"/>
      <c r="S2" s="67" t="s">
        <v>18</v>
      </c>
      <c r="T2" s="501"/>
      <c r="U2" s="501"/>
    </row>
    <row r="3" spans="1:21" x14ac:dyDescent="0.2">
      <c r="A3" s="38">
        <v>1</v>
      </c>
      <c r="B3" s="112">
        <v>17.5</v>
      </c>
      <c r="C3" s="494">
        <v>3</v>
      </c>
      <c r="D3" s="497">
        <v>24</v>
      </c>
      <c r="E3" s="496">
        <f t="array" ref="E3:E14">MMULT(G3:L14,N27:N32)</f>
        <v>22.687642224126034</v>
      </c>
      <c r="F3" s="495">
        <f t="shared" ref="F3:F14" si="0">(D3-D$15)/D$16</f>
        <v>-0.83675473025575942</v>
      </c>
      <c r="G3" s="39">
        <v>1</v>
      </c>
      <c r="H3" s="40">
        <f t="shared" ref="H3:H14" si="1">(B3-23.5)/6</f>
        <v>-1</v>
      </c>
      <c r="I3" s="40">
        <f t="shared" ref="I3:I14" si="2">(C3-4)</f>
        <v>-1</v>
      </c>
      <c r="J3" s="39">
        <f t="shared" ref="J3:J14" si="3">I3*H3</f>
        <v>1</v>
      </c>
      <c r="K3" s="493">
        <f t="shared" ref="K3:K14" si="4">H3^2-0.667824074074074</f>
        <v>0.33217592592592604</v>
      </c>
      <c r="L3" s="494">
        <f t="shared" ref="L3:L14" si="5">I3^2-0.664683333333333</f>
        <v>0.33531666666666704</v>
      </c>
      <c r="M3" s="505">
        <f t="shared" ref="M3:M14" si="6">(H3-H$15)/H$16</f>
        <v>-1.2236831071075758</v>
      </c>
      <c r="N3" s="506">
        <f t="shared" ref="N3:N14" si="7">(I3-I$15)/I$16</f>
        <v>-1.2265707544007662</v>
      </c>
      <c r="O3" s="506">
        <f t="shared" ref="O3:O14" si="8">(J3-J$15)/J$16</f>
        <v>1.7320508075688774</v>
      </c>
      <c r="P3" s="506">
        <f t="shared" ref="P3:P14" si="9">(K3-K$15)/K$16</f>
        <v>0.44442529401804876</v>
      </c>
      <c r="Q3" s="41">
        <f t="shared" ref="Q3:Q14" si="10">(L3-L$15)/L$16</f>
        <v>0.45202325281357231</v>
      </c>
      <c r="R3" s="493">
        <f t="array" ref="R3:R14">MMULT(M3:Q14,O28:O32)</f>
        <v>-1.1171261966601334</v>
      </c>
      <c r="S3" s="492">
        <f t="shared" ref="S3:S14" si="11">R3*D$16+D$15</f>
        <v>22.687642224126037</v>
      </c>
      <c r="T3" s="1"/>
      <c r="U3" s="1"/>
    </row>
    <row r="4" spans="1:21" x14ac:dyDescent="0.2">
      <c r="A4" s="34">
        <v>2</v>
      </c>
      <c r="B4" s="490">
        <v>17.5</v>
      </c>
      <c r="C4" s="486">
        <v>5</v>
      </c>
      <c r="D4" s="489">
        <v>22</v>
      </c>
      <c r="E4" s="488">
        <v>22.768294665138047</v>
      </c>
      <c r="F4" s="487">
        <f t="shared" si="0"/>
        <v>-1.2640337414501897</v>
      </c>
      <c r="G4" s="448">
        <v>1</v>
      </c>
      <c r="H4" s="94">
        <f t="shared" si="1"/>
        <v>-1</v>
      </c>
      <c r="I4" s="94">
        <f t="shared" si="2"/>
        <v>1</v>
      </c>
      <c r="J4" s="448">
        <f t="shared" si="3"/>
        <v>-1</v>
      </c>
      <c r="K4" s="485">
        <f t="shared" si="4"/>
        <v>0.33217592592592604</v>
      </c>
      <c r="L4" s="486">
        <f t="shared" si="5"/>
        <v>0.33531666666666704</v>
      </c>
      <c r="M4" s="507">
        <f t="shared" si="6"/>
        <v>-1.2236831071075758</v>
      </c>
      <c r="N4" s="508">
        <f t="shared" si="7"/>
        <v>1.2265707544007662</v>
      </c>
      <c r="O4" s="508">
        <f t="shared" si="8"/>
        <v>-1.7320508075688774</v>
      </c>
      <c r="P4" s="508">
        <f t="shared" si="9"/>
        <v>0.44442529401804876</v>
      </c>
      <c r="Q4" s="475">
        <f t="shared" si="10"/>
        <v>0.45202325281357231</v>
      </c>
      <c r="R4" s="485">
        <v>-1.0998956490371188</v>
      </c>
      <c r="S4" s="484">
        <f t="shared" si="11"/>
        <v>22.76829466513805</v>
      </c>
      <c r="T4" s="1"/>
      <c r="U4" s="1"/>
    </row>
    <row r="5" spans="1:21" x14ac:dyDescent="0.2">
      <c r="A5" s="34">
        <v>3</v>
      </c>
      <c r="B5" s="490">
        <v>29.5</v>
      </c>
      <c r="C5" s="486">
        <v>3</v>
      </c>
      <c r="D5" s="489">
        <v>28</v>
      </c>
      <c r="E5" s="488">
        <v>28.234435984957923</v>
      </c>
      <c r="F5" s="487">
        <f t="shared" si="0"/>
        <v>1.7803292133101008E-2</v>
      </c>
      <c r="G5" s="448">
        <v>1</v>
      </c>
      <c r="H5" s="94">
        <f t="shared" si="1"/>
        <v>1</v>
      </c>
      <c r="I5" s="94">
        <f t="shared" si="2"/>
        <v>-1</v>
      </c>
      <c r="J5" s="448">
        <f t="shared" si="3"/>
        <v>-1</v>
      </c>
      <c r="K5" s="485">
        <f t="shared" si="4"/>
        <v>0.33217592592592604</v>
      </c>
      <c r="L5" s="486">
        <f t="shared" si="5"/>
        <v>0.33531666666666704</v>
      </c>
      <c r="M5" s="507">
        <f t="shared" si="6"/>
        <v>1.2236831071075758</v>
      </c>
      <c r="N5" s="508">
        <f t="shared" si="7"/>
        <v>-1.2265707544007662</v>
      </c>
      <c r="O5" s="508">
        <f t="shared" si="8"/>
        <v>-1.7320508075688774</v>
      </c>
      <c r="P5" s="508">
        <f t="shared" si="9"/>
        <v>0.44442529401804876</v>
      </c>
      <c r="Q5" s="475">
        <f t="shared" si="10"/>
        <v>0.45202325281357231</v>
      </c>
      <c r="R5" s="485">
        <v>6.7888080053708985E-2</v>
      </c>
      <c r="S5" s="484">
        <f t="shared" si="11"/>
        <v>28.23443598495793</v>
      </c>
      <c r="T5" s="1"/>
      <c r="U5" s="1"/>
    </row>
    <row r="6" spans="1:21" x14ac:dyDescent="0.2">
      <c r="A6" s="63">
        <v>4</v>
      </c>
      <c r="B6" s="109">
        <v>29.5</v>
      </c>
      <c r="C6" s="480">
        <v>5</v>
      </c>
      <c r="D6" s="483">
        <v>33</v>
      </c>
      <c r="E6" s="482">
        <v>35.315088425969932</v>
      </c>
      <c r="F6" s="481">
        <f t="shared" si="0"/>
        <v>1.0860008201191766</v>
      </c>
      <c r="G6" s="95">
        <v>1</v>
      </c>
      <c r="H6" s="96">
        <f t="shared" si="1"/>
        <v>1</v>
      </c>
      <c r="I6" s="96">
        <f t="shared" si="2"/>
        <v>1</v>
      </c>
      <c r="J6" s="95">
        <f t="shared" si="3"/>
        <v>1</v>
      </c>
      <c r="K6" s="479">
        <f t="shared" si="4"/>
        <v>0.33217592592592604</v>
      </c>
      <c r="L6" s="480">
        <f t="shared" si="5"/>
        <v>0.33531666666666704</v>
      </c>
      <c r="M6" s="509">
        <f t="shared" si="6"/>
        <v>1.2236831071075758</v>
      </c>
      <c r="N6" s="510">
        <f t="shared" si="7"/>
        <v>1.2265707544007662</v>
      </c>
      <c r="O6" s="510">
        <f t="shared" si="8"/>
        <v>1.7320508075688774</v>
      </c>
      <c r="P6" s="510">
        <f t="shared" si="9"/>
        <v>0.44442529401804876</v>
      </c>
      <c r="Q6" s="97">
        <f t="shared" si="10"/>
        <v>0.45202325281357231</v>
      </c>
      <c r="R6" s="479">
        <v>1.5805951668572291</v>
      </c>
      <c r="S6" s="478">
        <f t="shared" si="11"/>
        <v>35.31508842596994</v>
      </c>
      <c r="T6" s="1"/>
      <c r="U6" s="1"/>
    </row>
    <row r="7" spans="1:21" x14ac:dyDescent="0.2">
      <c r="A7" s="38">
        <v>5</v>
      </c>
      <c r="B7" s="112">
        <v>15</v>
      </c>
      <c r="C7" s="494">
        <v>4</v>
      </c>
      <c r="D7" s="497">
        <v>19</v>
      </c>
      <c r="E7" s="496">
        <v>19.592223922477103</v>
      </c>
      <c r="F7" s="495">
        <f t="shared" si="0"/>
        <v>-1.904952258241835</v>
      </c>
      <c r="G7" s="39">
        <v>1</v>
      </c>
      <c r="H7" s="493">
        <f t="shared" si="1"/>
        <v>-1.4166666666666667</v>
      </c>
      <c r="I7" s="40">
        <f t="shared" si="2"/>
        <v>0</v>
      </c>
      <c r="J7" s="39">
        <f t="shared" si="3"/>
        <v>0</v>
      </c>
      <c r="K7" s="493">
        <f t="shared" si="4"/>
        <v>1.3391203703703707</v>
      </c>
      <c r="L7" s="494">
        <f t="shared" si="5"/>
        <v>-0.66468333333333296</v>
      </c>
      <c r="M7" s="505">
        <f t="shared" si="6"/>
        <v>-1.7335510684023991</v>
      </c>
      <c r="N7" s="40">
        <f t="shared" si="7"/>
        <v>0</v>
      </c>
      <c r="O7" s="40">
        <f t="shared" si="8"/>
        <v>0</v>
      </c>
      <c r="P7" s="500">
        <f t="shared" si="9"/>
        <v>1.7916378577661405</v>
      </c>
      <c r="Q7" s="41">
        <f t="shared" si="10"/>
        <v>-0.89602561486445875</v>
      </c>
      <c r="R7" s="493">
        <v>-1.7784298322409815</v>
      </c>
      <c r="S7" s="492">
        <f t="shared" si="11"/>
        <v>19.59222392247711</v>
      </c>
      <c r="T7" s="1"/>
      <c r="U7" s="1"/>
    </row>
    <row r="8" spans="1:21" x14ac:dyDescent="0.2">
      <c r="A8" s="34">
        <v>6</v>
      </c>
      <c r="B8" s="490">
        <v>32</v>
      </c>
      <c r="C8" s="486">
        <v>4</v>
      </c>
      <c r="D8" s="489">
        <v>34</v>
      </c>
      <c r="E8" s="488">
        <v>32.408515083655622</v>
      </c>
      <c r="F8" s="487">
        <f t="shared" si="0"/>
        <v>1.2996403257163918</v>
      </c>
      <c r="G8" s="448">
        <v>1</v>
      </c>
      <c r="H8" s="485">
        <f t="shared" si="1"/>
        <v>1.4166666666666667</v>
      </c>
      <c r="I8" s="94">
        <f t="shared" si="2"/>
        <v>0</v>
      </c>
      <c r="J8" s="448">
        <f t="shared" si="3"/>
        <v>0</v>
      </c>
      <c r="K8" s="485">
        <f t="shared" si="4"/>
        <v>1.3391203703703707</v>
      </c>
      <c r="L8" s="486">
        <f t="shared" si="5"/>
        <v>-0.66468333333333296</v>
      </c>
      <c r="M8" s="507">
        <f t="shared" si="6"/>
        <v>1.7335510684023991</v>
      </c>
      <c r="N8" s="94">
        <f t="shared" si="7"/>
        <v>0</v>
      </c>
      <c r="O8" s="94">
        <f t="shared" si="8"/>
        <v>0</v>
      </c>
      <c r="P8" s="499">
        <f t="shared" si="9"/>
        <v>1.7916378577661405</v>
      </c>
      <c r="Q8" s="475">
        <f t="shared" si="10"/>
        <v>-0.89602561486445875</v>
      </c>
      <c r="R8" s="485">
        <v>0.9596362750231533</v>
      </c>
      <c r="S8" s="484">
        <f t="shared" si="11"/>
        <v>32.408515083655622</v>
      </c>
      <c r="T8" s="1"/>
      <c r="U8" s="1"/>
    </row>
    <row r="9" spans="1:21" x14ac:dyDescent="0.2">
      <c r="A9" s="34">
        <v>7</v>
      </c>
      <c r="B9" s="490">
        <v>23.5</v>
      </c>
      <c r="C9" s="486">
        <v>2.59</v>
      </c>
      <c r="D9" s="489">
        <v>25</v>
      </c>
      <c r="E9" s="488">
        <v>25.971273724526409</v>
      </c>
      <c r="F9" s="487">
        <f t="shared" si="0"/>
        <v>-0.6231152246585443</v>
      </c>
      <c r="G9" s="448">
        <v>1</v>
      </c>
      <c r="H9" s="94">
        <f t="shared" si="1"/>
        <v>0</v>
      </c>
      <c r="I9" s="94">
        <f t="shared" si="2"/>
        <v>-1.4100000000000001</v>
      </c>
      <c r="J9" s="448">
        <f t="shared" si="3"/>
        <v>0</v>
      </c>
      <c r="K9" s="485">
        <f t="shared" si="4"/>
        <v>-0.66782407407407396</v>
      </c>
      <c r="L9" s="486">
        <f t="shared" si="5"/>
        <v>1.3234166666666676</v>
      </c>
      <c r="M9" s="89">
        <f t="shared" si="6"/>
        <v>0</v>
      </c>
      <c r="N9" s="508">
        <f t="shared" si="7"/>
        <v>-1.7294647637050804</v>
      </c>
      <c r="O9" s="94">
        <f t="shared" si="8"/>
        <v>0</v>
      </c>
      <c r="P9" s="499">
        <f t="shared" si="9"/>
        <v>-0.89349614860074555</v>
      </c>
      <c r="Q9" s="475">
        <f t="shared" si="10"/>
        <v>1.7840303389662355</v>
      </c>
      <c r="R9" s="485">
        <v>-0.41561278635115573</v>
      </c>
      <c r="S9" s="484">
        <f t="shared" si="11"/>
        <v>25.971273724526412</v>
      </c>
      <c r="T9" s="1"/>
      <c r="U9" s="1"/>
    </row>
    <row r="10" spans="1:21" x14ac:dyDescent="0.2">
      <c r="A10" s="63">
        <v>8</v>
      </c>
      <c r="B10" s="109">
        <v>23.5</v>
      </c>
      <c r="C10" s="480">
        <v>5.41</v>
      </c>
      <c r="D10" s="483">
        <v>33</v>
      </c>
      <c r="E10" s="482">
        <v>31.019993666353347</v>
      </c>
      <c r="F10" s="481">
        <f t="shared" si="0"/>
        <v>1.0860008201191766</v>
      </c>
      <c r="G10" s="95">
        <v>1</v>
      </c>
      <c r="H10" s="96">
        <f t="shared" si="1"/>
        <v>0</v>
      </c>
      <c r="I10" s="96">
        <f t="shared" si="2"/>
        <v>1.4100000000000001</v>
      </c>
      <c r="J10" s="95">
        <f t="shared" si="3"/>
        <v>0</v>
      </c>
      <c r="K10" s="479">
        <f t="shared" si="4"/>
        <v>-0.66782407407407396</v>
      </c>
      <c r="L10" s="480">
        <f t="shared" si="5"/>
        <v>1.3234166666666676</v>
      </c>
      <c r="M10" s="75">
        <f t="shared" si="6"/>
        <v>0</v>
      </c>
      <c r="N10" s="510">
        <f t="shared" si="7"/>
        <v>1.7294647637050804</v>
      </c>
      <c r="O10" s="96">
        <f t="shared" si="8"/>
        <v>0</v>
      </c>
      <c r="P10" s="498">
        <f t="shared" si="9"/>
        <v>-0.89349614860074555</v>
      </c>
      <c r="Q10" s="97">
        <f t="shared" si="10"/>
        <v>1.7840303389662355</v>
      </c>
      <c r="R10" s="485">
        <v>0.66299324591955122</v>
      </c>
      <c r="S10" s="484">
        <f t="shared" si="11"/>
        <v>31.019993666353347</v>
      </c>
      <c r="T10" s="1"/>
      <c r="U10" s="1"/>
    </row>
    <row r="11" spans="1:21" x14ac:dyDescent="0.2">
      <c r="A11" s="38">
        <v>9</v>
      </c>
      <c r="B11" s="112">
        <v>23.5</v>
      </c>
      <c r="C11" s="494">
        <v>4</v>
      </c>
      <c r="D11" s="489">
        <v>31</v>
      </c>
      <c r="E11" s="488">
        <v>29.250633075698886</v>
      </c>
      <c r="F11" s="495">
        <f t="shared" si="0"/>
        <v>0.6587218089247463</v>
      </c>
      <c r="G11" s="39">
        <v>1</v>
      </c>
      <c r="H11" s="40">
        <f t="shared" si="1"/>
        <v>0</v>
      </c>
      <c r="I11" s="40">
        <f t="shared" si="2"/>
        <v>0</v>
      </c>
      <c r="J11" s="39">
        <f t="shared" si="3"/>
        <v>0</v>
      </c>
      <c r="K11" s="493">
        <f t="shared" si="4"/>
        <v>-0.66782407407407396</v>
      </c>
      <c r="L11" s="494">
        <f t="shared" si="5"/>
        <v>-0.66468333333333296</v>
      </c>
      <c r="M11" s="87">
        <f t="shared" si="6"/>
        <v>0</v>
      </c>
      <c r="N11" s="40">
        <f t="shared" si="7"/>
        <v>0</v>
      </c>
      <c r="O11" s="40">
        <f t="shared" si="8"/>
        <v>0</v>
      </c>
      <c r="P11" s="500">
        <f t="shared" si="9"/>
        <v>-0.89349614860074555</v>
      </c>
      <c r="Q11" s="41">
        <f t="shared" si="10"/>
        <v>-0.89602561486445875</v>
      </c>
      <c r="R11" s="493">
        <v>0.28498792410893636</v>
      </c>
      <c r="S11" s="492">
        <f t="shared" si="11"/>
        <v>29.250633075698889</v>
      </c>
      <c r="T11" s="1"/>
      <c r="U11" s="1"/>
    </row>
    <row r="12" spans="1:21" x14ac:dyDescent="0.2">
      <c r="A12" s="34">
        <v>10</v>
      </c>
      <c r="B12" s="490">
        <v>23.5</v>
      </c>
      <c r="C12" s="486">
        <v>4</v>
      </c>
      <c r="D12" s="489">
        <v>29</v>
      </c>
      <c r="E12" s="488">
        <v>29.250633075698886</v>
      </c>
      <c r="F12" s="487">
        <f t="shared" si="0"/>
        <v>0.23144279773031612</v>
      </c>
      <c r="G12" s="448">
        <v>1</v>
      </c>
      <c r="H12" s="94">
        <f t="shared" si="1"/>
        <v>0</v>
      </c>
      <c r="I12" s="94">
        <f t="shared" si="2"/>
        <v>0</v>
      </c>
      <c r="J12" s="448">
        <f t="shared" si="3"/>
        <v>0</v>
      </c>
      <c r="K12" s="485">
        <f t="shared" si="4"/>
        <v>-0.66782407407407396</v>
      </c>
      <c r="L12" s="486">
        <f t="shared" si="5"/>
        <v>-0.66468333333333296</v>
      </c>
      <c r="M12" s="89">
        <f t="shared" si="6"/>
        <v>0</v>
      </c>
      <c r="N12" s="94">
        <f t="shared" si="7"/>
        <v>0</v>
      </c>
      <c r="O12" s="94">
        <f t="shared" si="8"/>
        <v>0</v>
      </c>
      <c r="P12" s="499">
        <f t="shared" si="9"/>
        <v>-0.89349614860074555</v>
      </c>
      <c r="Q12" s="475">
        <f t="shared" si="10"/>
        <v>-0.89602561486445875</v>
      </c>
      <c r="R12" s="485">
        <v>0.28498792410893636</v>
      </c>
      <c r="S12" s="484">
        <f t="shared" si="11"/>
        <v>29.250633075698889</v>
      </c>
      <c r="T12" s="1"/>
      <c r="U12" s="1"/>
    </row>
    <row r="13" spans="1:21" x14ac:dyDescent="0.2">
      <c r="A13" s="34">
        <v>11</v>
      </c>
      <c r="B13" s="490">
        <v>23.5</v>
      </c>
      <c r="C13" s="486">
        <v>4</v>
      </c>
      <c r="D13" s="489">
        <v>32</v>
      </c>
      <c r="E13" s="488">
        <v>29.250633075698886</v>
      </c>
      <c r="F13" s="487">
        <f t="shared" si="0"/>
        <v>0.87236131452196142</v>
      </c>
      <c r="G13" s="448">
        <v>1</v>
      </c>
      <c r="H13" s="94">
        <f t="shared" si="1"/>
        <v>0</v>
      </c>
      <c r="I13" s="94">
        <f t="shared" si="2"/>
        <v>0</v>
      </c>
      <c r="J13" s="448">
        <f t="shared" si="3"/>
        <v>0</v>
      </c>
      <c r="K13" s="485">
        <f t="shared" si="4"/>
        <v>-0.66782407407407396</v>
      </c>
      <c r="L13" s="486">
        <f t="shared" si="5"/>
        <v>-0.66468333333333296</v>
      </c>
      <c r="M13" s="89">
        <f t="shared" si="6"/>
        <v>0</v>
      </c>
      <c r="N13" s="94">
        <f t="shared" si="7"/>
        <v>0</v>
      </c>
      <c r="O13" s="94">
        <f t="shared" si="8"/>
        <v>0</v>
      </c>
      <c r="P13" s="499">
        <f t="shared" si="9"/>
        <v>-0.89349614860074555</v>
      </c>
      <c r="Q13" s="475">
        <f t="shared" si="10"/>
        <v>-0.89602561486445875</v>
      </c>
      <c r="R13" s="485">
        <v>0.28498792410893636</v>
      </c>
      <c r="S13" s="484">
        <f t="shared" si="11"/>
        <v>29.250633075698889</v>
      </c>
      <c r="T13" s="1"/>
      <c r="U13" s="1"/>
    </row>
    <row r="14" spans="1:21" x14ac:dyDescent="0.2">
      <c r="A14" s="63">
        <v>12</v>
      </c>
      <c r="B14" s="109">
        <v>23.5</v>
      </c>
      <c r="C14" s="480">
        <v>4</v>
      </c>
      <c r="D14" s="483">
        <v>25</v>
      </c>
      <c r="E14" s="482">
        <v>29.250633075698886</v>
      </c>
      <c r="F14" s="481">
        <f t="shared" si="0"/>
        <v>-0.6231152246585443</v>
      </c>
      <c r="G14" s="95">
        <v>1</v>
      </c>
      <c r="H14" s="96">
        <f t="shared" si="1"/>
        <v>0</v>
      </c>
      <c r="I14" s="96">
        <f t="shared" si="2"/>
        <v>0</v>
      </c>
      <c r="J14" s="95">
        <f t="shared" si="3"/>
        <v>0</v>
      </c>
      <c r="K14" s="479">
        <f t="shared" si="4"/>
        <v>-0.66782407407407396</v>
      </c>
      <c r="L14" s="480">
        <f t="shared" si="5"/>
        <v>-0.66468333333333296</v>
      </c>
      <c r="M14" s="75">
        <f t="shared" si="6"/>
        <v>0</v>
      </c>
      <c r="N14" s="96">
        <f t="shared" si="7"/>
        <v>0</v>
      </c>
      <c r="O14" s="96">
        <f t="shared" si="8"/>
        <v>0</v>
      </c>
      <c r="P14" s="498">
        <f t="shared" si="9"/>
        <v>-0.89349614860074555</v>
      </c>
      <c r="Q14" s="97">
        <f t="shared" si="10"/>
        <v>-0.89602561486445875</v>
      </c>
      <c r="R14" s="479">
        <v>0.28498792410893636</v>
      </c>
      <c r="S14" s="478">
        <f t="shared" si="11"/>
        <v>29.250633075698889</v>
      </c>
      <c r="T14" s="1"/>
      <c r="U14" s="1"/>
    </row>
    <row r="15" spans="1:21" x14ac:dyDescent="0.2">
      <c r="A15" s="477" t="s">
        <v>42</v>
      </c>
      <c r="B15" s="87">
        <f>AVERAGE(B3:B14)</f>
        <v>23.5</v>
      </c>
      <c r="C15" s="41">
        <f>AVERAGE(C3:C14)</f>
        <v>4</v>
      </c>
      <c r="D15" s="476">
        <f>AVERAGE(D3:D14)</f>
        <v>27.916666666666668</v>
      </c>
      <c r="E15" s="476">
        <f>AVERAGE(E3:E14)</f>
        <v>27.916666666666668</v>
      </c>
      <c r="F15" s="39">
        <v>0</v>
      </c>
      <c r="G15" s="94">
        <f>AVERAGE(G3:G14)</f>
        <v>1</v>
      </c>
      <c r="H15" s="87">
        <f>AVERAGE(H3:H14)</f>
        <v>0</v>
      </c>
      <c r="I15" s="41">
        <f>AVERAGE(I3:I14)</f>
        <v>0</v>
      </c>
      <c r="J15" s="39">
        <f>AVERAGE(J3:J14)</f>
        <v>0</v>
      </c>
      <c r="K15" s="87">
        <v>0</v>
      </c>
      <c r="L15" s="41">
        <v>0</v>
      </c>
      <c r="M15" s="87">
        <f>AVERAGE(M3:M14)</f>
        <v>0</v>
      </c>
      <c r="N15" s="41">
        <f>AVERAGE(N3:N14)</f>
        <v>0</v>
      </c>
      <c r="O15" s="39">
        <f>AVERAGE(O3:O14)</f>
        <v>0</v>
      </c>
      <c r="P15" s="87">
        <v>0</v>
      </c>
      <c r="Q15" s="41">
        <v>0</v>
      </c>
      <c r="R15" s="39">
        <v>0</v>
      </c>
      <c r="S15" s="39">
        <f>AVERAGE(S3:S14)</f>
        <v>27.916666666666668</v>
      </c>
      <c r="T15" s="1"/>
      <c r="U15" s="1"/>
    </row>
    <row r="16" spans="1:21" x14ac:dyDescent="0.2">
      <c r="A16" s="444" t="s">
        <v>41</v>
      </c>
      <c r="B16" s="75">
        <f t="shared" ref="B16:S16" si="12">_xlfn.STDEV.P(B3:B14)</f>
        <v>4.9032302277852171</v>
      </c>
      <c r="C16" s="97">
        <f t="shared" si="12"/>
        <v>0.815281137604282</v>
      </c>
      <c r="D16" s="1">
        <f t="shared" si="12"/>
        <v>4.6807822233278724</v>
      </c>
      <c r="E16" s="1">
        <f t="shared" si="12"/>
        <v>4.268998317770242</v>
      </c>
      <c r="F16" s="95">
        <f t="shared" si="12"/>
        <v>1</v>
      </c>
      <c r="G16" s="94">
        <f t="shared" si="12"/>
        <v>0</v>
      </c>
      <c r="H16" s="106">
        <f t="shared" si="12"/>
        <v>0.81720503796420274</v>
      </c>
      <c r="I16" s="77">
        <f t="shared" si="12"/>
        <v>0.81528113760428278</v>
      </c>
      <c r="J16" s="92">
        <f t="shared" si="12"/>
        <v>0.57735026918962573</v>
      </c>
      <c r="K16" s="106">
        <f t="shared" si="12"/>
        <v>0.74742803885603304</v>
      </c>
      <c r="L16" s="77">
        <f t="shared" si="12"/>
        <v>0.74181287042098587</v>
      </c>
      <c r="M16" s="75">
        <f t="shared" si="12"/>
        <v>1</v>
      </c>
      <c r="N16" s="97">
        <f t="shared" si="12"/>
        <v>0.99999999999999989</v>
      </c>
      <c r="O16" s="95">
        <f t="shared" si="12"/>
        <v>1</v>
      </c>
      <c r="P16" s="89">
        <f t="shared" si="12"/>
        <v>1.0000000000000002</v>
      </c>
      <c r="Q16" s="475">
        <f t="shared" si="12"/>
        <v>1.0000000000000002</v>
      </c>
      <c r="R16" s="448">
        <f t="shared" si="12"/>
        <v>0.91202669000378533</v>
      </c>
      <c r="S16" s="448">
        <f t="shared" si="12"/>
        <v>4.2689983177702784</v>
      </c>
    </row>
    <row r="17" spans="1:21" ht="18" x14ac:dyDescent="0.2">
      <c r="A17" s="1357" t="s">
        <v>35</v>
      </c>
      <c r="B17" s="1517"/>
      <c r="C17" s="1517"/>
      <c r="D17" s="1517"/>
      <c r="E17" s="1517"/>
      <c r="F17" s="1517"/>
      <c r="G17" s="1348"/>
      <c r="H17" s="1357" t="s">
        <v>194</v>
      </c>
      <c r="I17" s="1519"/>
      <c r="J17" s="1519"/>
      <c r="K17" s="1519"/>
      <c r="L17" s="1520"/>
      <c r="M17" s="1405" t="s">
        <v>47</v>
      </c>
      <c r="N17" s="1405" t="s">
        <v>34</v>
      </c>
      <c r="O17" s="1405" t="s">
        <v>193</v>
      </c>
      <c r="P17" s="1357" t="s">
        <v>27</v>
      </c>
      <c r="Q17" s="1519"/>
      <c r="R17" s="1519"/>
      <c r="S17" s="1519"/>
      <c r="T17" s="1519"/>
      <c r="U17" s="1361"/>
    </row>
    <row r="18" spans="1:21" x14ac:dyDescent="0.2">
      <c r="A18" s="460"/>
      <c r="B18" s="69">
        <v>0</v>
      </c>
      <c r="C18" s="69">
        <v>1</v>
      </c>
      <c r="D18" s="70">
        <v>2</v>
      </c>
      <c r="E18" s="71">
        <v>12</v>
      </c>
      <c r="F18" s="69">
        <v>11</v>
      </c>
      <c r="G18" s="71">
        <v>22</v>
      </c>
      <c r="H18" s="1452" t="s">
        <v>189</v>
      </c>
      <c r="I18" s="1523" t="s">
        <v>188</v>
      </c>
      <c r="J18" s="1405" t="s">
        <v>187</v>
      </c>
      <c r="K18" s="1452" t="s">
        <v>186</v>
      </c>
      <c r="L18" s="1523" t="s">
        <v>185</v>
      </c>
      <c r="M18" s="1526"/>
      <c r="N18" s="1526"/>
      <c r="O18" s="1527"/>
      <c r="P18" s="74"/>
      <c r="Q18" s="472" t="s">
        <v>30</v>
      </c>
      <c r="R18" s="472" t="s">
        <v>31</v>
      </c>
      <c r="S18" s="472" t="s">
        <v>32</v>
      </c>
      <c r="T18" s="471" t="s">
        <v>3</v>
      </c>
      <c r="U18" s="470" t="s">
        <v>33</v>
      </c>
    </row>
    <row r="19" spans="1:21" x14ac:dyDescent="0.2">
      <c r="A19" s="7">
        <v>0</v>
      </c>
      <c r="B19" s="456">
        <f t="array" ref="B19:G24">MMULT(TRANSPOSE(G3:L14),G3:L14)</f>
        <v>12</v>
      </c>
      <c r="C19" s="456">
        <v>0</v>
      </c>
      <c r="D19" s="93">
        <v>0</v>
      </c>
      <c r="E19" s="457">
        <v>0</v>
      </c>
      <c r="F19" s="456">
        <v>1.7763568394002505E-15</v>
      </c>
      <c r="G19" s="457">
        <v>5.5511151231257827E-15</v>
      </c>
      <c r="H19" s="1522"/>
      <c r="I19" s="1524"/>
      <c r="J19" s="1525"/>
      <c r="K19" s="1522"/>
      <c r="L19" s="1524"/>
      <c r="M19" s="7">
        <v>0</v>
      </c>
      <c r="N19" s="118">
        <f t="array" ref="N19:N24">MMULT(TRANSPOSE(G3:L14),D3:D14)</f>
        <v>335</v>
      </c>
      <c r="O19" s="1528"/>
      <c r="P19" s="129" t="s">
        <v>5</v>
      </c>
      <c r="Q19" s="81">
        <f>SUMSQ(E3:E14)-12*AVERAGE(D3:D14)^2</f>
        <v>218.69215964550131</v>
      </c>
      <c r="R19" s="88">
        <v>5</v>
      </c>
      <c r="S19" s="80">
        <f>Q19/R19</f>
        <v>43.738431929100258</v>
      </c>
      <c r="T19" s="1">
        <f>S19/S20</f>
        <v>5.9340535203480904</v>
      </c>
      <c r="U19" s="90">
        <f>FDIST(T19,R19,R20)</f>
        <v>2.5525854656178848E-2</v>
      </c>
    </row>
    <row r="20" spans="1:21" ht="18" x14ac:dyDescent="0.2">
      <c r="A20" s="78">
        <v>1</v>
      </c>
      <c r="B20" s="455">
        <v>0</v>
      </c>
      <c r="C20" s="455">
        <v>8.0138888888888893</v>
      </c>
      <c r="D20" s="90">
        <v>0</v>
      </c>
      <c r="E20" s="1">
        <v>0</v>
      </c>
      <c r="F20" s="455">
        <v>0</v>
      </c>
      <c r="G20" s="1">
        <v>0</v>
      </c>
      <c r="H20" s="81">
        <f t="array" ref="H20:L24">MMULT(TRANSPOSE(M3:Q14),M3:Q14)</f>
        <v>12.000000000000002</v>
      </c>
      <c r="I20" s="80">
        <v>0</v>
      </c>
      <c r="J20" s="88">
        <v>0</v>
      </c>
      <c r="K20" s="81">
        <v>0</v>
      </c>
      <c r="L20" s="80">
        <v>0</v>
      </c>
      <c r="M20" s="78" t="s">
        <v>182</v>
      </c>
      <c r="N20" s="450">
        <v>36.25</v>
      </c>
      <c r="O20" s="467">
        <f t="array" ref="O20:O24">MMULT(TRANSPOSE(M3:Q14),F3:F14)</f>
        <v>9.4767307078670875</v>
      </c>
      <c r="P20" s="127" t="s">
        <v>6</v>
      </c>
      <c r="Q20" s="106">
        <f>SUMSQ(D3:D14)-SUMSQ(E3:E14)</f>
        <v>44.224507021164754</v>
      </c>
      <c r="R20" s="76">
        <f>12-6</f>
        <v>6</v>
      </c>
      <c r="S20" s="77">
        <f>Q20/R20</f>
        <v>7.3707511701941257</v>
      </c>
      <c r="T20" s="40" t="s">
        <v>192</v>
      </c>
      <c r="U20" s="80">
        <f>Q19/Q21</f>
        <v>0.83179268327924616</v>
      </c>
    </row>
    <row r="21" spans="1:21" x14ac:dyDescent="0.2">
      <c r="A21" s="78">
        <v>2</v>
      </c>
      <c r="B21" s="455">
        <v>0</v>
      </c>
      <c r="C21" s="455">
        <v>0</v>
      </c>
      <c r="D21" s="90">
        <v>7.9762000000000004</v>
      </c>
      <c r="E21" s="1">
        <v>0</v>
      </c>
      <c r="F21" s="455">
        <v>0</v>
      </c>
      <c r="G21" s="1">
        <v>0</v>
      </c>
      <c r="H21" s="106">
        <v>0</v>
      </c>
      <c r="I21" s="77">
        <v>11.999999999999998</v>
      </c>
      <c r="J21" s="76">
        <v>0</v>
      </c>
      <c r="K21" s="106">
        <v>0</v>
      </c>
      <c r="L21" s="77">
        <v>0</v>
      </c>
      <c r="M21" s="78" t="s">
        <v>98</v>
      </c>
      <c r="N21" s="450">
        <v>14.280000000000001</v>
      </c>
      <c r="O21" s="468">
        <v>3.7419878851766115</v>
      </c>
      <c r="P21" s="127" t="s">
        <v>7</v>
      </c>
      <c r="Q21" s="106">
        <f>SUMSQ(D3:D14)-12*AVERAGE(D3:D14)^2</f>
        <v>262.91666666666606</v>
      </c>
      <c r="R21" s="76">
        <f>12-1</f>
        <v>11</v>
      </c>
      <c r="S21" s="77">
        <f>Q21/R21</f>
        <v>23.901515151515095</v>
      </c>
      <c r="T21" s="96" t="s">
        <v>191</v>
      </c>
      <c r="U21" s="77">
        <f>SQRT(S20)</f>
        <v>2.7149127371232624</v>
      </c>
    </row>
    <row r="22" spans="1:21" x14ac:dyDescent="0.2">
      <c r="A22" s="7">
        <v>12</v>
      </c>
      <c r="B22" s="456">
        <v>0</v>
      </c>
      <c r="C22" s="456">
        <v>0</v>
      </c>
      <c r="D22" s="93">
        <v>0</v>
      </c>
      <c r="E22" s="457">
        <v>4</v>
      </c>
      <c r="F22" s="456">
        <v>0</v>
      </c>
      <c r="G22" s="457">
        <v>0</v>
      </c>
      <c r="H22" s="455">
        <v>0</v>
      </c>
      <c r="I22" s="90">
        <v>0</v>
      </c>
      <c r="J22" s="1">
        <v>12.000000000000002</v>
      </c>
      <c r="K22" s="455">
        <v>0</v>
      </c>
      <c r="L22" s="90">
        <v>0</v>
      </c>
      <c r="M22" s="69">
        <v>12</v>
      </c>
      <c r="N22" s="450">
        <v>7</v>
      </c>
      <c r="O22" s="468">
        <v>2.5902413473879049</v>
      </c>
    </row>
    <row r="23" spans="1:21" x14ac:dyDescent="0.2">
      <c r="A23" s="69">
        <v>11</v>
      </c>
      <c r="B23" s="81">
        <v>1.7763568394002505E-15</v>
      </c>
      <c r="C23" s="81">
        <v>0</v>
      </c>
      <c r="D23" s="80">
        <v>0</v>
      </c>
      <c r="E23" s="88">
        <v>0</v>
      </c>
      <c r="F23" s="81">
        <v>6.7037840792181065</v>
      </c>
      <c r="G23" s="88">
        <v>-1.3266983796296303</v>
      </c>
      <c r="H23" s="81">
        <v>0</v>
      </c>
      <c r="I23" s="80">
        <v>0</v>
      </c>
      <c r="J23" s="88">
        <v>0</v>
      </c>
      <c r="K23" s="81">
        <v>12.000000000000004</v>
      </c>
      <c r="L23" s="80">
        <v>-2.3928112880904209</v>
      </c>
      <c r="M23" s="69">
        <v>11</v>
      </c>
      <c r="N23" s="118">
        <v>-10.353009259259217</v>
      </c>
      <c r="O23" s="467">
        <v>-2.9592304069523543</v>
      </c>
    </row>
    <row r="24" spans="1:21" x14ac:dyDescent="0.2">
      <c r="A24" s="91">
        <v>22</v>
      </c>
      <c r="B24" s="106">
        <v>5.5511151231257827E-15</v>
      </c>
      <c r="C24" s="106">
        <v>0</v>
      </c>
      <c r="D24" s="77">
        <v>0</v>
      </c>
      <c r="E24" s="76">
        <v>0</v>
      </c>
      <c r="F24" s="106">
        <v>-1.3266983796296303</v>
      </c>
      <c r="G24" s="76">
        <v>6.6034360166666684</v>
      </c>
      <c r="H24" s="106">
        <v>0</v>
      </c>
      <c r="I24" s="77">
        <v>0</v>
      </c>
      <c r="J24" s="76">
        <v>0</v>
      </c>
      <c r="K24" s="106">
        <v>-2.3928112880904209</v>
      </c>
      <c r="L24" s="77">
        <v>12.000000000000005</v>
      </c>
      <c r="M24" s="91">
        <v>22</v>
      </c>
      <c r="N24" s="92">
        <v>-0.35911666666650888</v>
      </c>
      <c r="O24" s="466">
        <v>-0.1034243407974923</v>
      </c>
      <c r="P24" s="1"/>
      <c r="Q24" s="1"/>
      <c r="R24" s="1"/>
      <c r="S24" s="1"/>
      <c r="U24" s="1"/>
    </row>
    <row r="25" spans="1:21" ht="18" x14ac:dyDescent="0.2">
      <c r="A25" s="1357" t="s">
        <v>40</v>
      </c>
      <c r="B25" s="1517"/>
      <c r="C25" s="1517"/>
      <c r="D25" s="1517"/>
      <c r="E25" s="1517"/>
      <c r="F25" s="1517"/>
      <c r="G25" s="1348"/>
      <c r="H25" s="1471" t="s">
        <v>190</v>
      </c>
      <c r="I25" s="1521"/>
      <c r="J25" s="1521"/>
      <c r="K25" s="1521"/>
      <c r="L25" s="1472"/>
      <c r="M25" s="1"/>
      <c r="N25" s="1"/>
      <c r="O25" s="1"/>
      <c r="P25" s="1"/>
      <c r="Q25" s="1"/>
      <c r="R25" s="1"/>
      <c r="S25" s="1"/>
      <c r="T25" s="1"/>
      <c r="U25" s="1"/>
    </row>
    <row r="26" spans="1:21" x14ac:dyDescent="0.2">
      <c r="A26" s="460"/>
      <c r="B26" s="69">
        <v>0</v>
      </c>
      <c r="C26" s="69">
        <v>1</v>
      </c>
      <c r="D26" s="70">
        <v>2</v>
      </c>
      <c r="E26" s="71">
        <v>12</v>
      </c>
      <c r="F26" s="69">
        <v>11</v>
      </c>
      <c r="G26" s="70">
        <v>22</v>
      </c>
      <c r="H26" s="7" t="s">
        <v>189</v>
      </c>
      <c r="I26" s="454" t="s">
        <v>188</v>
      </c>
      <c r="J26" s="464" t="s">
        <v>187</v>
      </c>
      <c r="K26" s="7" t="s">
        <v>186</v>
      </c>
      <c r="L26" s="454" t="s">
        <v>185</v>
      </c>
      <c r="M26" s="454" t="s">
        <v>47</v>
      </c>
      <c r="N26" s="463" t="s">
        <v>39</v>
      </c>
      <c r="O26" s="1405" t="s">
        <v>184</v>
      </c>
      <c r="P26" s="1405" t="s">
        <v>101</v>
      </c>
      <c r="Q26" s="130" t="s">
        <v>183</v>
      </c>
      <c r="R26" s="462" t="s">
        <v>43</v>
      </c>
      <c r="S26" s="462" t="s">
        <v>33</v>
      </c>
      <c r="T26" s="1"/>
      <c r="U26" s="1"/>
    </row>
    <row r="27" spans="1:21" x14ac:dyDescent="0.2">
      <c r="A27" s="7">
        <v>0</v>
      </c>
      <c r="B27" s="456">
        <f t="array" ref="B27:G32">MINVERSE(B19:G24)</f>
        <v>8.3333333333333329E-2</v>
      </c>
      <c r="C27" s="456">
        <v>0</v>
      </c>
      <c r="D27" s="93">
        <v>0</v>
      </c>
      <c r="E27" s="457">
        <v>0</v>
      </c>
      <c r="F27" s="456">
        <v>-3.7433674808218839E-17</v>
      </c>
      <c r="G27" s="93">
        <v>-7.7574178252941636E-17</v>
      </c>
      <c r="H27" s="460"/>
      <c r="I27" s="459"/>
      <c r="J27" s="461"/>
      <c r="K27" s="460"/>
      <c r="L27" s="459"/>
      <c r="M27" s="454">
        <v>0</v>
      </c>
      <c r="N27" s="74">
        <f t="array" ref="N27:N32">MMULT(B27:G32,N19:N24)</f>
        <v>27.916666666666664</v>
      </c>
      <c r="O27" s="1526"/>
      <c r="P27" s="1526"/>
      <c r="Q27" s="451" t="e">
        <f t="array" aca="1" ref="Q27:Q32" ca="1">SQRT([5]!DIAG(B27:G32)*S20)</f>
        <v>#NAME?</v>
      </c>
      <c r="R27" s="451" t="e">
        <f t="shared" ref="R27:R32" ca="1" si="13">N27/Q27</f>
        <v>#NAME?</v>
      </c>
      <c r="S27" s="451" t="e">
        <f ca="1">TDIST(ABS(R27),11,2)</f>
        <v>#NAME?</v>
      </c>
      <c r="T27" s="1"/>
      <c r="U27" s="1"/>
    </row>
    <row r="28" spans="1:21" x14ac:dyDescent="0.2">
      <c r="A28" s="78">
        <v>1</v>
      </c>
      <c r="B28" s="455">
        <v>0</v>
      </c>
      <c r="C28" s="455">
        <v>0.12478336221837087</v>
      </c>
      <c r="D28" s="90">
        <v>0</v>
      </c>
      <c r="E28" s="1">
        <v>0</v>
      </c>
      <c r="F28" s="455">
        <v>0</v>
      </c>
      <c r="G28" s="90">
        <v>0</v>
      </c>
      <c r="H28" s="81">
        <f t="array" ref="H28:L32">MINVERSE(H20:L24)</f>
        <v>8.3333333333333315E-2</v>
      </c>
      <c r="I28" s="80">
        <v>0</v>
      </c>
      <c r="J28" s="88">
        <v>0</v>
      </c>
      <c r="K28" s="81">
        <v>0</v>
      </c>
      <c r="L28" s="80">
        <v>0</v>
      </c>
      <c r="M28" s="458" t="s">
        <v>182</v>
      </c>
      <c r="N28" s="450">
        <v>4.5233968804159437</v>
      </c>
      <c r="O28" s="449">
        <f t="array" ref="O28:O32">MMULT(H28:L32,O20:O24)</f>
        <v>0.78972755898892377</v>
      </c>
      <c r="P28" s="448" t="e">
        <f t="array" aca="1" ref="P28" ca="1">[5]!VIF(H$3:L$14,1)</f>
        <v>#NAME?</v>
      </c>
      <c r="Q28" s="447" t="e">
        <f ca="1"/>
        <v>#NAME?</v>
      </c>
      <c r="R28" s="447" t="e">
        <f t="shared" ca="1" si="13"/>
        <v>#NAME?</v>
      </c>
      <c r="S28" s="447" t="e">
        <f ca="1">TDIST(ABS(R28),6,2)</f>
        <v>#NAME?</v>
      </c>
      <c r="T28" s="1" t="s">
        <v>181</v>
      </c>
      <c r="U28" s="1"/>
    </row>
    <row r="29" spans="1:21" x14ac:dyDescent="0.2">
      <c r="A29" s="78">
        <v>2</v>
      </c>
      <c r="B29" s="455">
        <v>0</v>
      </c>
      <c r="C29" s="455">
        <v>0</v>
      </c>
      <c r="D29" s="90">
        <v>0.12537298462927207</v>
      </c>
      <c r="E29" s="1">
        <v>0</v>
      </c>
      <c r="F29" s="455">
        <v>0</v>
      </c>
      <c r="G29" s="90">
        <v>0</v>
      </c>
      <c r="H29" s="106">
        <v>0</v>
      </c>
      <c r="I29" s="77">
        <v>8.3333333333333343E-2</v>
      </c>
      <c r="J29" s="76">
        <v>0</v>
      </c>
      <c r="K29" s="106">
        <v>0</v>
      </c>
      <c r="L29" s="77">
        <v>0</v>
      </c>
      <c r="M29" s="458" t="s">
        <v>98</v>
      </c>
      <c r="N29" s="450">
        <v>1.7903262205060053</v>
      </c>
      <c r="O29" s="449">
        <v>0.31183232376471764</v>
      </c>
      <c r="P29" s="448" t="e">
        <f ca="1">[5]!VIF(H$3:L$14,2)</f>
        <v>#NAME?</v>
      </c>
      <c r="Q29" s="447" t="e">
        <f ca="1"/>
        <v>#NAME?</v>
      </c>
      <c r="R29" s="447" t="e">
        <f t="shared" ca="1" si="13"/>
        <v>#NAME?</v>
      </c>
      <c r="S29" s="447" t="e">
        <f ca="1">TDIST(ABS(R29),6,2)</f>
        <v>#NAME?</v>
      </c>
      <c r="T29" s="1"/>
      <c r="U29" s="1"/>
    </row>
    <row r="30" spans="1:21" x14ac:dyDescent="0.2">
      <c r="A30" s="7">
        <v>12</v>
      </c>
      <c r="B30" s="456">
        <v>0</v>
      </c>
      <c r="C30" s="456">
        <v>0</v>
      </c>
      <c r="D30" s="93">
        <v>0</v>
      </c>
      <c r="E30" s="457">
        <v>0.25</v>
      </c>
      <c r="F30" s="456">
        <v>0</v>
      </c>
      <c r="G30" s="93">
        <v>0</v>
      </c>
      <c r="H30" s="455">
        <v>0</v>
      </c>
      <c r="I30" s="90">
        <v>0</v>
      </c>
      <c r="J30" s="1">
        <v>8.3333333333333315E-2</v>
      </c>
      <c r="K30" s="455">
        <v>0</v>
      </c>
      <c r="L30" s="90">
        <v>0</v>
      </c>
      <c r="M30" s="454">
        <v>12</v>
      </c>
      <c r="N30" s="74">
        <v>1.75</v>
      </c>
      <c r="O30" s="453">
        <v>0.2158534456156587</v>
      </c>
      <c r="P30" s="452" t="e">
        <f ca="1">[5]!VIF(H$3:L$14,3)</f>
        <v>#NAME?</v>
      </c>
      <c r="Q30" s="451" t="e">
        <f ca="1"/>
        <v>#NAME?</v>
      </c>
      <c r="R30" s="451" t="e">
        <f t="shared" ca="1" si="13"/>
        <v>#NAME?</v>
      </c>
      <c r="S30" s="451" t="e">
        <f ca="1">TDIST(ABS(R30),6,2)</f>
        <v>#NAME?</v>
      </c>
      <c r="T30" s="1"/>
      <c r="U30" s="1"/>
    </row>
    <row r="31" spans="1:21" x14ac:dyDescent="0.2">
      <c r="A31" s="69">
        <v>11</v>
      </c>
      <c r="B31" s="81">
        <v>-3.7433674808218832E-17</v>
      </c>
      <c r="C31" s="81">
        <v>0</v>
      </c>
      <c r="D31" s="80">
        <v>0</v>
      </c>
      <c r="E31" s="88">
        <v>0</v>
      </c>
      <c r="F31" s="81">
        <v>0.15534615973060042</v>
      </c>
      <c r="G31" s="80">
        <v>3.1210645166561142E-2</v>
      </c>
      <c r="H31" s="81">
        <v>0</v>
      </c>
      <c r="I31" s="80">
        <v>0</v>
      </c>
      <c r="J31" s="88">
        <v>0</v>
      </c>
      <c r="K31" s="81">
        <v>8.6783926030805966E-2</v>
      </c>
      <c r="L31" s="80">
        <v>1.7304796485943044E-2</v>
      </c>
      <c r="M31" s="70">
        <v>11</v>
      </c>
      <c r="N31" s="450">
        <v>-1.6195084929380066</v>
      </c>
      <c r="O31" s="449">
        <v>-0.25860336991425836</v>
      </c>
      <c r="P31" s="448" t="e">
        <f ca="1">[5]!VIF(H$3:L$14,4)</f>
        <v>#NAME?</v>
      </c>
      <c r="Q31" s="447" t="e">
        <f ca="1"/>
        <v>#NAME?</v>
      </c>
      <c r="R31" s="447" t="e">
        <f t="shared" ca="1" si="13"/>
        <v>#NAME?</v>
      </c>
      <c r="S31" s="447" t="e">
        <f ca="1">TDIST(ABS(R31),6,2)</f>
        <v>#NAME?</v>
      </c>
      <c r="T31" s="1"/>
      <c r="U31" s="1"/>
    </row>
    <row r="32" spans="1:21" x14ac:dyDescent="0.2">
      <c r="A32" s="91">
        <v>22</v>
      </c>
      <c r="B32" s="106">
        <v>-7.7574178252941636E-17</v>
      </c>
      <c r="C32" s="106">
        <v>0</v>
      </c>
      <c r="D32" s="77">
        <v>0</v>
      </c>
      <c r="E32" s="76">
        <v>0</v>
      </c>
      <c r="F32" s="106">
        <v>3.1210645166561139E-2</v>
      </c>
      <c r="G32" s="77">
        <v>0.15770685287799022</v>
      </c>
      <c r="H32" s="106">
        <v>0</v>
      </c>
      <c r="I32" s="77">
        <v>0</v>
      </c>
      <c r="J32" s="76">
        <v>0</v>
      </c>
      <c r="K32" s="106">
        <v>1.7304796485943047E-2</v>
      </c>
      <c r="L32" s="77">
        <v>8.6783926030805952E-2</v>
      </c>
      <c r="M32" s="446">
        <v>22</v>
      </c>
      <c r="N32" s="92">
        <v>-0.37975925771289676</v>
      </c>
      <c r="O32" s="445">
        <v>-6.0184450288879351E-2</v>
      </c>
      <c r="P32" s="95" t="e">
        <f ca="1">[5]!VIF(H$3:L$14,5)</f>
        <v>#NAME?</v>
      </c>
      <c r="Q32" s="444" t="e">
        <f ca="1"/>
        <v>#NAME?</v>
      </c>
      <c r="R32" s="444" t="e">
        <f t="shared" ca="1" si="13"/>
        <v>#NAME?</v>
      </c>
      <c r="S32" s="444" t="e">
        <f ca="1">TDIST(ABS(R32),6,2)</f>
        <v>#NAME?</v>
      </c>
      <c r="U32" s="1"/>
    </row>
  </sheetData>
  <mergeCells count="18">
    <mergeCell ref="R1:R2"/>
    <mergeCell ref="M17:M18"/>
    <mergeCell ref="O26:O27"/>
    <mergeCell ref="P26:P27"/>
    <mergeCell ref="P17:U17"/>
    <mergeCell ref="O17:O19"/>
    <mergeCell ref="M1:Q1"/>
    <mergeCell ref="N17:N18"/>
    <mergeCell ref="A17:G17"/>
    <mergeCell ref="A25:G25"/>
    <mergeCell ref="G1:L1"/>
    <mergeCell ref="H17:L17"/>
    <mergeCell ref="H25:L25"/>
    <mergeCell ref="H18:H19"/>
    <mergeCell ref="I18:I19"/>
    <mergeCell ref="J18:J19"/>
    <mergeCell ref="K18:K19"/>
    <mergeCell ref="L18:L19"/>
  </mergeCells>
  <conditionalFormatting sqref="B19:G24 B27:G32">
    <cfRule type="cellIs" dxfId="21" priority="3" operator="between">
      <formula>-0.0001</formula>
      <formula>0.0001</formula>
    </cfRule>
  </conditionalFormatting>
  <conditionalFormatting sqref="H20:L24">
    <cfRule type="cellIs" dxfId="20" priority="2" operator="between">
      <formula>-0.0001</formula>
      <formula>0.0001</formula>
    </cfRule>
  </conditionalFormatting>
  <conditionalFormatting sqref="H28:L32">
    <cfRule type="cellIs" dxfId="19" priority="1" operator="between">
      <formula>-0.0001</formula>
      <formula>0.0001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08D85-9830-4810-9C53-707874666EF4}">
  <dimension ref="A1:L21"/>
  <sheetViews>
    <sheetView zoomScaleNormal="100" workbookViewId="0">
      <selection activeCell="E16" sqref="E16"/>
    </sheetView>
  </sheetViews>
  <sheetFormatPr baseColWidth="10" defaultColWidth="6.83203125" defaultRowHeight="16" x14ac:dyDescent="0.2"/>
  <cols>
    <col min="1" max="1" width="6.83203125" style="1"/>
    <col min="2" max="2" width="6.83203125" style="1" customWidth="1"/>
    <col min="3" max="8" width="6.83203125" style="1"/>
    <col min="9" max="9" width="7.1640625" style="1" bestFit="1" customWidth="1"/>
    <col min="10" max="16384" width="6.83203125" style="1"/>
  </cols>
  <sheetData>
    <row r="1" spans="1:12" x14ac:dyDescent="0.2">
      <c r="A1" s="1314" t="s">
        <v>540</v>
      </c>
      <c r="B1" s="1315"/>
      <c r="C1" s="1315"/>
      <c r="D1" s="1316"/>
      <c r="G1" s="1314" t="s">
        <v>14</v>
      </c>
      <c r="H1" s="1315"/>
      <c r="I1" s="1315"/>
      <c r="J1" s="1316"/>
    </row>
    <row r="2" spans="1:12" ht="18" x14ac:dyDescent="0.25">
      <c r="A2" s="518" t="s">
        <v>10</v>
      </c>
      <c r="B2" s="129" t="s">
        <v>444</v>
      </c>
      <c r="C2" s="666" t="s">
        <v>443</v>
      </c>
      <c r="D2" s="518" t="s">
        <v>219</v>
      </c>
      <c r="E2" s="1129" t="s">
        <v>539</v>
      </c>
      <c r="F2" s="472" t="s">
        <v>538</v>
      </c>
      <c r="G2" s="2">
        <v>0</v>
      </c>
      <c r="H2" s="676" t="s">
        <v>537</v>
      </c>
      <c r="I2" s="676" t="s">
        <v>536</v>
      </c>
      <c r="J2" s="667" t="s">
        <v>535</v>
      </c>
      <c r="K2" s="1314" t="s">
        <v>221</v>
      </c>
      <c r="L2" s="1316"/>
    </row>
    <row r="3" spans="1:12" ht="18" x14ac:dyDescent="0.25">
      <c r="A3" s="118">
        <v>1</v>
      </c>
      <c r="B3" s="81">
        <v>0.1</v>
      </c>
      <c r="C3" s="80">
        <v>0.1</v>
      </c>
      <c r="D3" s="717">
        <v>-2.9699999999999998</v>
      </c>
      <c r="E3" s="714" t="e">
        <f t="array" aca="1" ref="E3:E13" ca="1">MMULT(G3:J13,L3:L6)</f>
        <v>#NAME?</v>
      </c>
      <c r="F3" s="717" t="e">
        <f t="shared" ref="F3:F13" ca="1" si="0">D3-E3</f>
        <v>#NAME?</v>
      </c>
      <c r="G3" s="87">
        <v>1</v>
      </c>
      <c r="H3" s="774">
        <f t="shared" ref="H3:H13" si="1">SIN(B3)</f>
        <v>9.9833416646828155E-2</v>
      </c>
      <c r="I3" s="774">
        <f t="shared" ref="I3:I13" si="2">LN(C3)</f>
        <v>-2.3025850929940455</v>
      </c>
      <c r="J3" s="642">
        <f t="shared" ref="J3:J13" si="3">SQRT(B3*C3)</f>
        <v>0.1</v>
      </c>
      <c r="K3" s="1128" t="s">
        <v>534</v>
      </c>
      <c r="L3" s="124" t="e">
        <f t="array" aca="1" ref="L3:L6" ca="1">MMULT([5]!PseudoInv(X),y)</f>
        <v>#NAME?</v>
      </c>
    </row>
    <row r="4" spans="1:12" ht="18" x14ac:dyDescent="0.25">
      <c r="A4" s="450">
        <v>2</v>
      </c>
      <c r="B4" s="455">
        <v>0.1</v>
      </c>
      <c r="C4" s="90">
        <v>0.1</v>
      </c>
      <c r="D4" s="720">
        <v>-3</v>
      </c>
      <c r="E4" s="980" t="e">
        <f ca="1"/>
        <v>#NAME?</v>
      </c>
      <c r="F4" s="720" t="e">
        <f t="shared" ca="1" si="0"/>
        <v>#NAME?</v>
      </c>
      <c r="G4" s="89">
        <v>1</v>
      </c>
      <c r="H4" s="769">
        <f t="shared" si="1"/>
        <v>9.9833416646828155E-2</v>
      </c>
      <c r="I4" s="769">
        <f t="shared" si="2"/>
        <v>-2.3025850929940455</v>
      </c>
      <c r="J4" s="651">
        <f t="shared" si="3"/>
        <v>0.1</v>
      </c>
      <c r="K4" s="1127" t="s">
        <v>533</v>
      </c>
      <c r="L4" s="37" t="e">
        <f ca="1"/>
        <v>#NAME?</v>
      </c>
    </row>
    <row r="5" spans="1:12" ht="18" x14ac:dyDescent="0.25">
      <c r="A5" s="92">
        <v>3</v>
      </c>
      <c r="B5" s="106">
        <v>0.1</v>
      </c>
      <c r="C5" s="77">
        <v>0.1</v>
      </c>
      <c r="D5" s="716">
        <v>-0.99</v>
      </c>
      <c r="E5" s="520" t="e">
        <f ca="1"/>
        <v>#NAME?</v>
      </c>
      <c r="F5" s="716" t="e">
        <f t="shared" ca="1" si="0"/>
        <v>#NAME?</v>
      </c>
      <c r="G5" s="75">
        <v>1</v>
      </c>
      <c r="H5" s="974">
        <f t="shared" si="1"/>
        <v>9.9833416646828155E-2</v>
      </c>
      <c r="I5" s="974">
        <f t="shared" si="2"/>
        <v>-2.3025850929940455</v>
      </c>
      <c r="J5" s="638">
        <f t="shared" si="3"/>
        <v>0.1</v>
      </c>
      <c r="K5" s="1127" t="s">
        <v>532</v>
      </c>
      <c r="L5" s="37" t="e">
        <f ca="1"/>
        <v>#NAME?</v>
      </c>
    </row>
    <row r="6" spans="1:12" ht="18" x14ac:dyDescent="0.25">
      <c r="A6" s="450">
        <v>4</v>
      </c>
      <c r="B6" s="455">
        <v>0.1</v>
      </c>
      <c r="C6" s="90">
        <v>0.6</v>
      </c>
      <c r="D6" s="720">
        <v>-1.17</v>
      </c>
      <c r="E6" s="980" t="e">
        <f ca="1"/>
        <v>#NAME?</v>
      </c>
      <c r="F6" s="720" t="e">
        <f t="shared" ca="1" si="0"/>
        <v>#NAME?</v>
      </c>
      <c r="G6" s="89">
        <v>1</v>
      </c>
      <c r="H6" s="769">
        <f t="shared" si="1"/>
        <v>9.9833416646828155E-2</v>
      </c>
      <c r="I6" s="769">
        <f t="shared" si="2"/>
        <v>-0.51082562376599072</v>
      </c>
      <c r="J6" s="651">
        <f t="shared" si="3"/>
        <v>0.2449489742783178</v>
      </c>
      <c r="K6" s="1126" t="s">
        <v>531</v>
      </c>
      <c r="L6" s="66" t="e">
        <f ca="1"/>
        <v>#NAME?</v>
      </c>
    </row>
    <row r="7" spans="1:12" x14ac:dyDescent="0.2">
      <c r="A7" s="92">
        <v>5</v>
      </c>
      <c r="B7" s="106">
        <v>0.1</v>
      </c>
      <c r="C7" s="77">
        <v>1.1000000000000001</v>
      </c>
      <c r="D7" s="716">
        <v>-1.59</v>
      </c>
      <c r="E7" s="520" t="e">
        <f ca="1"/>
        <v>#NAME?</v>
      </c>
      <c r="F7" s="716" t="e">
        <f t="shared" ca="1" si="0"/>
        <v>#NAME?</v>
      </c>
      <c r="G7" s="75">
        <v>1</v>
      </c>
      <c r="H7" s="974">
        <f t="shared" si="1"/>
        <v>9.9833416646828155E-2</v>
      </c>
      <c r="I7" s="974">
        <f t="shared" si="2"/>
        <v>9.5310179804324935E-2</v>
      </c>
      <c r="J7" s="638">
        <f t="shared" si="3"/>
        <v>0.33166247903554003</v>
      </c>
    </row>
    <row r="8" spans="1:12" x14ac:dyDescent="0.2">
      <c r="A8" s="118">
        <v>6</v>
      </c>
      <c r="B8" s="81">
        <v>0.6</v>
      </c>
      <c r="C8" s="80">
        <v>0.1</v>
      </c>
      <c r="D8" s="717">
        <v>1.59</v>
      </c>
      <c r="E8" s="980" t="e">
        <f ca="1"/>
        <v>#NAME?</v>
      </c>
      <c r="F8" s="717" t="e">
        <f t="shared" ca="1" si="0"/>
        <v>#NAME?</v>
      </c>
      <c r="G8" s="89">
        <v>1</v>
      </c>
      <c r="H8" s="769">
        <f t="shared" si="1"/>
        <v>0.56464247339503537</v>
      </c>
      <c r="I8" s="769">
        <f t="shared" si="2"/>
        <v>-2.3025850929940455</v>
      </c>
      <c r="J8" s="651">
        <f t="shared" si="3"/>
        <v>0.2449489742783178</v>
      </c>
    </row>
    <row r="9" spans="1:12" x14ac:dyDescent="0.2">
      <c r="A9" s="450">
        <v>7</v>
      </c>
      <c r="B9" s="455">
        <v>0.6</v>
      </c>
      <c r="C9" s="90">
        <v>0.6</v>
      </c>
      <c r="D9" s="720">
        <v>-0.27</v>
      </c>
      <c r="E9" s="980" t="e">
        <f ca="1"/>
        <v>#NAME?</v>
      </c>
      <c r="F9" s="720" t="e">
        <f t="shared" ca="1" si="0"/>
        <v>#NAME?</v>
      </c>
      <c r="G9" s="89">
        <v>1</v>
      </c>
      <c r="H9" s="769">
        <f t="shared" si="1"/>
        <v>0.56464247339503537</v>
      </c>
      <c r="I9" s="769">
        <f t="shared" si="2"/>
        <v>-0.51082562376599072</v>
      </c>
      <c r="J9" s="651">
        <f t="shared" si="3"/>
        <v>0.6</v>
      </c>
    </row>
    <row r="10" spans="1:12" x14ac:dyDescent="0.2">
      <c r="A10" s="92">
        <v>8</v>
      </c>
      <c r="B10" s="106">
        <v>0.6</v>
      </c>
      <c r="C10" s="77">
        <v>1.1000000000000001</v>
      </c>
      <c r="D10" s="716">
        <v>2.52</v>
      </c>
      <c r="E10" s="520" t="e">
        <f ca="1"/>
        <v>#NAME?</v>
      </c>
      <c r="F10" s="716" t="e">
        <f t="shared" ca="1" si="0"/>
        <v>#NAME?</v>
      </c>
      <c r="G10" s="89">
        <v>1</v>
      </c>
      <c r="H10" s="769">
        <f t="shared" si="1"/>
        <v>0.56464247339503537</v>
      </c>
      <c r="I10" s="769">
        <f t="shared" si="2"/>
        <v>9.5310179804324935E-2</v>
      </c>
      <c r="J10" s="651">
        <f t="shared" si="3"/>
        <v>0.81240384046359604</v>
      </c>
    </row>
    <row r="11" spans="1:12" x14ac:dyDescent="0.2">
      <c r="A11" s="118">
        <v>9</v>
      </c>
      <c r="B11" s="81">
        <v>1.1000000000000001</v>
      </c>
      <c r="C11" s="80">
        <v>0.1</v>
      </c>
      <c r="D11" s="717">
        <v>2.67</v>
      </c>
      <c r="E11" s="714" t="e">
        <f ca="1"/>
        <v>#NAME?</v>
      </c>
      <c r="F11" s="717" t="e">
        <f t="shared" ca="1" si="0"/>
        <v>#NAME?</v>
      </c>
      <c r="G11" s="87">
        <v>1</v>
      </c>
      <c r="H11" s="774">
        <f t="shared" si="1"/>
        <v>0.89120736006143542</v>
      </c>
      <c r="I11" s="774">
        <f t="shared" si="2"/>
        <v>-2.3025850929940455</v>
      </c>
      <c r="J11" s="642">
        <f t="shared" si="3"/>
        <v>0.33166247903554003</v>
      </c>
    </row>
    <row r="12" spans="1:12" x14ac:dyDescent="0.2">
      <c r="A12" s="450">
        <v>10</v>
      </c>
      <c r="B12" s="455">
        <v>1.1000000000000001</v>
      </c>
      <c r="C12" s="90">
        <v>0.6</v>
      </c>
      <c r="D12" s="720">
        <v>1.53</v>
      </c>
      <c r="E12" s="980" t="e">
        <f ca="1"/>
        <v>#NAME?</v>
      </c>
      <c r="F12" s="720" t="e">
        <f t="shared" ca="1" si="0"/>
        <v>#NAME?</v>
      </c>
      <c r="G12" s="89">
        <v>1</v>
      </c>
      <c r="H12" s="769">
        <f t="shared" si="1"/>
        <v>0.89120736006143542</v>
      </c>
      <c r="I12" s="769">
        <f t="shared" si="2"/>
        <v>-0.51082562376599072</v>
      </c>
      <c r="J12" s="651">
        <f t="shared" si="3"/>
        <v>0.81240384046359604</v>
      </c>
    </row>
    <row r="13" spans="1:12" x14ac:dyDescent="0.2">
      <c r="A13" s="92">
        <v>11</v>
      </c>
      <c r="B13" s="106">
        <v>1.1000000000000001</v>
      </c>
      <c r="C13" s="77">
        <v>1.1000000000000001</v>
      </c>
      <c r="D13" s="716">
        <v>1.0499999999999998</v>
      </c>
      <c r="E13" s="520" t="e">
        <f ca="1"/>
        <v>#NAME?</v>
      </c>
      <c r="F13" s="716" t="e">
        <f t="shared" ca="1" si="0"/>
        <v>#NAME?</v>
      </c>
      <c r="G13" s="75">
        <v>1</v>
      </c>
      <c r="H13" s="974">
        <f t="shared" si="1"/>
        <v>0.89120736006143542</v>
      </c>
      <c r="I13" s="974">
        <f t="shared" si="2"/>
        <v>9.5310179804324935E-2</v>
      </c>
      <c r="J13" s="638">
        <f t="shared" si="3"/>
        <v>1.1000000000000001</v>
      </c>
    </row>
    <row r="21" spans="5:5" x14ac:dyDescent="0.2">
      <c r="E21" s="1125"/>
    </row>
  </sheetData>
  <mergeCells count="3">
    <mergeCell ref="A1:D1"/>
    <mergeCell ref="G1:J1"/>
    <mergeCell ref="K2:L2"/>
  </mergeCells>
  <pageMargins left="0.7" right="0.7" top="0.75" bottom="0.75" header="0.3" footer="0.3"/>
  <pageSetup orientation="portrait" horizontalDpi="0" verticalDpi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65C1A-601A-484D-946E-79F845F199FC}">
  <sheetPr>
    <pageSetUpPr autoPageBreaks="0"/>
  </sheetPr>
  <dimension ref="A1:AV83"/>
  <sheetViews>
    <sheetView showGridLines="0" zoomScaleNormal="100" workbookViewId="0">
      <pane ySplit="2" topLeftCell="A3" activePane="bottomLeft" state="frozen"/>
      <selection pane="bottomLeft" activeCell="O25" sqref="O25"/>
    </sheetView>
  </sheetViews>
  <sheetFormatPr baseColWidth="10" defaultColWidth="6" defaultRowHeight="15" customHeight="1" outlineLevelRow="1" x14ac:dyDescent="0.2"/>
  <cols>
    <col min="1" max="6" width="6" style="245" customWidth="1"/>
    <col min="7" max="7" width="6" style="365" customWidth="1"/>
    <col min="8" max="12" width="6" style="245" customWidth="1"/>
    <col min="13" max="13" width="6" style="364" customWidth="1"/>
    <col min="14" max="25" width="6" style="245" customWidth="1"/>
    <col min="26" max="43" width="6" style="245"/>
    <col min="44" max="47" width="6" style="245" customWidth="1"/>
    <col min="48" max="16384" width="6" style="245"/>
  </cols>
  <sheetData>
    <row r="1" spans="1:40" ht="15" customHeight="1" x14ac:dyDescent="0.2">
      <c r="A1" s="1529" t="s">
        <v>119</v>
      </c>
      <c r="B1" s="1535"/>
      <c r="C1" s="1536"/>
      <c r="D1" s="1529" t="s">
        <v>14</v>
      </c>
      <c r="E1" s="1535"/>
      <c r="F1" s="1535"/>
      <c r="G1" s="1535"/>
      <c r="H1" s="1535"/>
      <c r="I1" s="1536"/>
      <c r="J1" s="1529" t="s">
        <v>180</v>
      </c>
      <c r="K1" s="1535"/>
      <c r="L1" s="1535"/>
      <c r="M1" s="1536"/>
      <c r="N1" s="1535" t="s">
        <v>117</v>
      </c>
      <c r="O1" s="1535"/>
      <c r="P1" s="1535"/>
      <c r="Q1" s="1535"/>
      <c r="R1" s="1535"/>
      <c r="S1" s="1536"/>
      <c r="T1" s="1545" t="s">
        <v>116</v>
      </c>
      <c r="U1" s="1529" t="s">
        <v>179</v>
      </c>
      <c r="V1" s="1530"/>
      <c r="W1" s="1530"/>
      <c r="X1" s="1530"/>
      <c r="Y1" s="1531"/>
      <c r="Z1" s="1529" t="s">
        <v>149</v>
      </c>
      <c r="AA1" s="1535"/>
      <c r="AB1" s="1535"/>
      <c r="AC1" s="1536"/>
      <c r="AD1" s="1529" t="s">
        <v>178</v>
      </c>
      <c r="AE1" s="1547"/>
      <c r="AF1" s="1547"/>
      <c r="AG1" s="1547"/>
      <c r="AH1" s="1547"/>
      <c r="AI1" s="1547"/>
      <c r="AJ1" s="1547"/>
      <c r="AK1" s="1547"/>
      <c r="AL1" s="1547"/>
      <c r="AM1" s="1547"/>
      <c r="AN1" s="1548"/>
    </row>
    <row r="2" spans="1:40" ht="30" customHeight="1" x14ac:dyDescent="0.2">
      <c r="A2" s="334" t="s">
        <v>10</v>
      </c>
      <c r="B2" s="334" t="s">
        <v>177</v>
      </c>
      <c r="C2" s="334" t="s">
        <v>48</v>
      </c>
      <c r="D2" s="334">
        <v>0</v>
      </c>
      <c r="E2" s="361" t="s">
        <v>99</v>
      </c>
      <c r="F2" s="361" t="s">
        <v>98</v>
      </c>
      <c r="G2" s="362" t="s">
        <v>97</v>
      </c>
      <c r="H2" s="361" t="s">
        <v>96</v>
      </c>
      <c r="I2" s="334" t="s">
        <v>95</v>
      </c>
      <c r="J2" s="334">
        <v>0</v>
      </c>
      <c r="K2" s="361" t="s">
        <v>99</v>
      </c>
      <c r="L2" s="361" t="s">
        <v>98</v>
      </c>
      <c r="M2" s="443" t="s">
        <v>97</v>
      </c>
      <c r="N2" s="360">
        <v>0</v>
      </c>
      <c r="O2" s="361">
        <v>1</v>
      </c>
      <c r="P2" s="361">
        <v>2</v>
      </c>
      <c r="Q2" s="361">
        <v>3</v>
      </c>
      <c r="R2" s="361">
        <v>4</v>
      </c>
      <c r="S2" s="360">
        <v>22</v>
      </c>
      <c r="T2" s="1546"/>
      <c r="U2" s="424">
        <v>2</v>
      </c>
      <c r="V2" s="361">
        <v>3</v>
      </c>
      <c r="W2" s="361">
        <v>4</v>
      </c>
      <c r="X2" s="360">
        <v>22</v>
      </c>
      <c r="Y2" s="334">
        <v>0</v>
      </c>
      <c r="Z2" s="424" t="s">
        <v>176</v>
      </c>
      <c r="AA2" s="360" t="s">
        <v>175</v>
      </c>
      <c r="AB2" s="424" t="s">
        <v>174</v>
      </c>
      <c r="AC2" s="360" t="s">
        <v>173</v>
      </c>
      <c r="AD2" s="424" t="s">
        <v>10</v>
      </c>
      <c r="AE2" s="424" t="s">
        <v>139</v>
      </c>
      <c r="AF2" s="361" t="s">
        <v>138</v>
      </c>
      <c r="AG2" s="361" t="s">
        <v>137</v>
      </c>
      <c r="AH2" s="361" t="s">
        <v>136</v>
      </c>
      <c r="AI2" s="360" t="s">
        <v>172</v>
      </c>
      <c r="AJ2" s="424" t="s">
        <v>171</v>
      </c>
      <c r="AK2" s="361" t="s">
        <v>170</v>
      </c>
      <c r="AL2" s="361" t="s">
        <v>169</v>
      </c>
      <c r="AM2" s="361" t="s">
        <v>168</v>
      </c>
      <c r="AN2" s="360" t="s">
        <v>167</v>
      </c>
    </row>
    <row r="3" spans="1:40" ht="15" customHeight="1" x14ac:dyDescent="0.2">
      <c r="A3" s="291">
        <v>1</v>
      </c>
      <c r="B3" s="309">
        <v>85.7</v>
      </c>
      <c r="C3" s="309">
        <f t="array" ref="C3:C30">MMULT(X,a)</f>
        <v>85.998219980632285</v>
      </c>
      <c r="D3" s="291">
        <v>1</v>
      </c>
      <c r="E3" s="290">
        <v>-1.2210000000000001</v>
      </c>
      <c r="F3" s="290">
        <v>1.661</v>
      </c>
      <c r="G3" s="290">
        <v>-1.181</v>
      </c>
      <c r="H3" s="290">
        <v>-1.22</v>
      </c>
      <c r="I3" s="289">
        <f t="shared" ref="I3:I30" si="0">(F3^2-I$33)/I$34</f>
        <v>1.3893679010370081</v>
      </c>
      <c r="J3" s="291">
        <f t="shared" ref="J3:J30" si="1">D3</f>
        <v>1</v>
      </c>
      <c r="K3" s="290">
        <f t="shared" ref="K3:K30" si="2">E3</f>
        <v>-1.2210000000000001</v>
      </c>
      <c r="L3" s="290">
        <f t="shared" ref="L3:L30" si="3">F3</f>
        <v>1.661</v>
      </c>
      <c r="M3" s="420">
        <f t="shared" ref="M3:M30" si="4">G3</f>
        <v>-1.181</v>
      </c>
      <c r="N3" s="356">
        <f t="array" ref="N3:S8">MINVERSE(MMULT(TRANSPOSE(X),X))</f>
        <v>3.5714384543241197E-2</v>
      </c>
      <c r="O3" s="357">
        <v>-3.8112093210940939E-3</v>
      </c>
      <c r="P3" s="357">
        <v>1.0319836577000047E-4</v>
      </c>
      <c r="Q3" s="357">
        <v>1.9324175393417177E-4</v>
      </c>
      <c r="R3" s="357">
        <v>3.8689352990822039E-3</v>
      </c>
      <c r="S3" s="356">
        <v>4.5339670057895644E-5</v>
      </c>
      <c r="T3" s="337">
        <f t="array" ref="T3:T8">MMULT(TRANSPOSE(X),y)</f>
        <v>1391.8000000000002</v>
      </c>
      <c r="U3" s="385">
        <f t="array" ref="U3:Y7">MINVERSE(MMULT(TRANSPOSE(X_not_1),X_not_1))</f>
        <v>9.9414521235676068E-2</v>
      </c>
      <c r="V3" s="384">
        <v>3.9860205018821961E-2</v>
      </c>
      <c r="W3" s="384">
        <v>-2.745922469164926E-2</v>
      </c>
      <c r="X3" s="383">
        <v>-5.2552768883297768E-2</v>
      </c>
      <c r="Y3" s="412">
        <v>-1.0502845696308539E-5</v>
      </c>
      <c r="Z3" s="346">
        <f t="array" ref="Z3:Z7">MMULT(TRANSPOSE(X_not_1),x_1)</f>
        <v>8.202868999999998</v>
      </c>
      <c r="AA3" s="339">
        <f t="array" ref="AA3:AA7">MMULT(U3:Y7,Z3:Z7)</f>
        <v>2.9833368331936443E-2</v>
      </c>
      <c r="AB3" s="346">
        <f t="array" ref="AB3:AB7">MMULT(TRANSPOSE(X_not_1),y)</f>
        <v>341.87469999999996</v>
      </c>
      <c r="AC3" s="339">
        <f t="array" ref="AC3:AC7">MMULT(U3:Y7,AB3:AB7)</f>
        <v>4.5032018938654472</v>
      </c>
      <c r="AD3" s="411">
        <v>1</v>
      </c>
      <c r="AE3" s="388">
        <f t="array" ref="AE3:AE30">x_1-MMULT(X_not_1,a_x1)</f>
        <v>1.6144117922883838E-2</v>
      </c>
      <c r="AF3" s="387">
        <f t="array" ref="AF3:AF30">x_2-MMULT(X_not_2,a_x2)</f>
        <v>2.3669231987208494E-2</v>
      </c>
      <c r="AG3" s="387">
        <f t="array" ref="AG3:AG30">x_3-MMULT(X_not_3,a_x3)</f>
        <v>-0.32685373319138067</v>
      </c>
      <c r="AH3" s="387">
        <f t="array" ref="AH3:AH30">x_4-MMULT(X_not_4,a_x4)</f>
        <v>-1.647193302870531E-2</v>
      </c>
      <c r="AI3" s="386">
        <f t="array" ref="AI3:AI30">x_5-MMULT(X_not_5,a_x5)</f>
        <v>-0.54401329185803649</v>
      </c>
      <c r="AJ3" s="434">
        <f t="array" ref="AJ3:AJ30">y-MMULT(X_not_1,a_y1)+y_bar</f>
        <v>50.411568934758229</v>
      </c>
      <c r="AK3" s="433">
        <f t="array" ref="AK3:AK30">y-MMULT(X_not_2,a_y2)+y_bar</f>
        <v>49.471655139100896</v>
      </c>
      <c r="AL3" s="433">
        <f t="array" ref="AL3:AL30">y-MMULT(X_not_3,a_y3)+y_bar</f>
        <v>58.275220469266365</v>
      </c>
      <c r="AM3" s="433">
        <f t="array" ref="AM3:AM30">y-MMULT(X_not_4,a_y4)+y_bar</f>
        <v>50.592018541653779</v>
      </c>
      <c r="AN3" s="432">
        <f t="array" ref="AN3:AN30">y-MMULT(X_not_5,a_y5)+y_bar</f>
        <v>54.086108565115971</v>
      </c>
    </row>
    <row r="4" spans="1:40" ht="15" customHeight="1" x14ac:dyDescent="0.2">
      <c r="A4" s="305">
        <v>2</v>
      </c>
      <c r="B4" s="307">
        <v>89.5</v>
      </c>
      <c r="C4" s="307">
        <v>82.624049012813998</v>
      </c>
      <c r="D4" s="305">
        <v>1</v>
      </c>
      <c r="E4" s="299">
        <v>-1.2210000000000001</v>
      </c>
      <c r="F4" s="299">
        <v>1.6220000000000001</v>
      </c>
      <c r="G4" s="299">
        <v>-1.0289999999999999</v>
      </c>
      <c r="H4" s="299">
        <v>-1.22</v>
      </c>
      <c r="I4" s="304">
        <f t="shared" si="0"/>
        <v>1.2902263823857134</v>
      </c>
      <c r="J4" s="305">
        <f t="shared" si="1"/>
        <v>1</v>
      </c>
      <c r="K4" s="299">
        <f t="shared" si="2"/>
        <v>-1.2210000000000001</v>
      </c>
      <c r="L4" s="299">
        <f t="shared" si="3"/>
        <v>1.6220000000000001</v>
      </c>
      <c r="M4" s="427">
        <f t="shared" si="4"/>
        <v>-1.0289999999999999</v>
      </c>
      <c r="N4" s="352">
        <v>-3.8112093210940939E-3</v>
      </c>
      <c r="O4" s="355">
        <v>151.53016270958304</v>
      </c>
      <c r="P4" s="355">
        <v>-4.5206551575132288</v>
      </c>
      <c r="Q4" s="355">
        <v>-8.2200420183480709</v>
      </c>
      <c r="R4" s="355">
        <v>-153.78213790520698</v>
      </c>
      <c r="S4" s="352">
        <v>-1.6876803877955895</v>
      </c>
      <c r="T4" s="279">
        <v>96.435200000000037</v>
      </c>
      <c r="U4" s="385">
        <v>3.9860205018821961E-2</v>
      </c>
      <c r="V4" s="384">
        <v>6.8055226430269677E-2</v>
      </c>
      <c r="W4" s="384">
        <v>1.5102008360352704E-2</v>
      </c>
      <c r="X4" s="383">
        <v>-1.9313414916659673E-3</v>
      </c>
      <c r="Y4" s="412">
        <v>-1.3504547923603617E-5</v>
      </c>
      <c r="Z4" s="346">
        <v>-10.191030000000003</v>
      </c>
      <c r="AA4" s="339">
        <v>5.4246902869775765E-2</v>
      </c>
      <c r="AB4" s="346">
        <v>-572.54149999999993</v>
      </c>
      <c r="AC4" s="339">
        <v>-23.757137068316052</v>
      </c>
      <c r="AD4" s="411">
        <v>2</v>
      </c>
      <c r="AE4" s="385">
        <v>1.0166287352359804E-2</v>
      </c>
      <c r="AF4" s="384">
        <v>0.17056749802962679</v>
      </c>
      <c r="AG4" s="384">
        <v>-0.21377383572683395</v>
      </c>
      <c r="AH4" s="384">
        <v>-1.0584392775826013E-2</v>
      </c>
      <c r="AI4" s="383">
        <v>-0.49648094460739634</v>
      </c>
      <c r="AJ4" s="426">
        <v>57.214480953216373</v>
      </c>
      <c r="AK4" s="365">
        <v>57.035161113822689</v>
      </c>
      <c r="AL4" s="365">
        <v>62.381964264418379</v>
      </c>
      <c r="AM4" s="365">
        <v>57.343317261303817</v>
      </c>
      <c r="AN4" s="425">
        <v>60.851617432882911</v>
      </c>
    </row>
    <row r="5" spans="1:40" ht="15" customHeight="1" x14ac:dyDescent="0.2">
      <c r="A5" s="305">
        <v>3</v>
      </c>
      <c r="B5" s="307">
        <v>53.6</v>
      </c>
      <c r="C5" s="307">
        <v>57.481500850362728</v>
      </c>
      <c r="D5" s="305">
        <v>1</v>
      </c>
      <c r="E5" s="299">
        <v>-1.2210000000000001</v>
      </c>
      <c r="F5" s="299">
        <v>0.48299999999999998</v>
      </c>
      <c r="G5" s="299">
        <v>0.375</v>
      </c>
      <c r="H5" s="299">
        <v>-1.22</v>
      </c>
      <c r="I5" s="304">
        <f t="shared" si="0"/>
        <v>-0.56627767043301702</v>
      </c>
      <c r="J5" s="305">
        <f t="shared" si="1"/>
        <v>1</v>
      </c>
      <c r="K5" s="299">
        <f t="shared" si="2"/>
        <v>-1.2210000000000001</v>
      </c>
      <c r="L5" s="299">
        <f t="shared" si="3"/>
        <v>0.48299999999999998</v>
      </c>
      <c r="M5" s="427">
        <f t="shared" si="4"/>
        <v>0.375</v>
      </c>
      <c r="N5" s="352">
        <v>1.0319836577000051E-4</v>
      </c>
      <c r="O5" s="355">
        <v>-4.5206551575132323</v>
      </c>
      <c r="P5" s="355">
        <v>0.23428089165143581</v>
      </c>
      <c r="Q5" s="355">
        <v>0.28509174625619316</v>
      </c>
      <c r="R5" s="355">
        <v>4.5603799383070163</v>
      </c>
      <c r="S5" s="352">
        <v>-2.2035782476068654E-3</v>
      </c>
      <c r="T5" s="270">
        <v>341.87469999999996</v>
      </c>
      <c r="U5" s="385">
        <v>-2.7459224691649273E-2</v>
      </c>
      <c r="V5" s="384">
        <v>1.5102008360352699E-2</v>
      </c>
      <c r="W5" s="384">
        <v>6.0502284942598496E-2</v>
      </c>
      <c r="X5" s="383">
        <v>3.4693894730953904E-2</v>
      </c>
      <c r="Y5" s="412">
        <v>1.0854471329824668E-6</v>
      </c>
      <c r="Z5" s="346">
        <v>26.986040000000013</v>
      </c>
      <c r="AA5" s="339">
        <v>1.0148615638982719</v>
      </c>
      <c r="AB5" s="346">
        <v>114.40630000000017</v>
      </c>
      <c r="AC5" s="339">
        <v>-8.7959848619838095</v>
      </c>
      <c r="AD5" s="411">
        <v>3</v>
      </c>
      <c r="AE5" s="385">
        <v>-1.1339182128283776E-2</v>
      </c>
      <c r="AF5" s="384">
        <v>0.75752884656627317</v>
      </c>
      <c r="AG5" s="384">
        <v>0.23471828380942267</v>
      </c>
      <c r="AH5" s="384">
        <v>1.0521528241643541E-2</v>
      </c>
      <c r="AI5" s="383">
        <v>-0.97982023212507841</v>
      </c>
      <c r="AJ5" s="426">
        <v>45.121411133410234</v>
      </c>
      <c r="AK5" s="365">
        <v>47.83337502265293</v>
      </c>
      <c r="AL5" s="365">
        <v>39.458628436538625</v>
      </c>
      <c r="AM5" s="365">
        <v>45.069933831448054</v>
      </c>
      <c r="AN5" s="425">
        <v>54.249703028247822</v>
      </c>
    </row>
    <row r="6" spans="1:40" ht="15" customHeight="1" x14ac:dyDescent="0.2">
      <c r="A6" s="305">
        <v>4</v>
      </c>
      <c r="B6" s="307">
        <v>43</v>
      </c>
      <c r="C6" s="307">
        <v>47.519856613253388</v>
      </c>
      <c r="D6" s="305">
        <v>1</v>
      </c>
      <c r="E6" s="299">
        <v>-1.2210000000000001</v>
      </c>
      <c r="F6" s="299">
        <v>0.20799999999999999</v>
      </c>
      <c r="G6" s="299">
        <v>0.76200000000000001</v>
      </c>
      <c r="H6" s="299">
        <v>-1.22</v>
      </c>
      <c r="I6" s="304">
        <f t="shared" si="0"/>
        <v>-0.7134176930960936</v>
      </c>
      <c r="J6" s="305">
        <f t="shared" si="1"/>
        <v>1</v>
      </c>
      <c r="K6" s="299">
        <f t="shared" si="2"/>
        <v>-1.2210000000000001</v>
      </c>
      <c r="L6" s="299">
        <f t="shared" si="3"/>
        <v>0.20799999999999999</v>
      </c>
      <c r="M6" s="427">
        <f t="shared" si="4"/>
        <v>0.76200000000000001</v>
      </c>
      <c r="N6" s="352">
        <v>1.9324175393417231E-4</v>
      </c>
      <c r="O6" s="355">
        <v>-8.2200420183480922</v>
      </c>
      <c r="P6" s="355">
        <v>0.28509174625619366</v>
      </c>
      <c r="Q6" s="355">
        <v>0.51396704738507426</v>
      </c>
      <c r="R6" s="355">
        <v>8.3573067064106024</v>
      </c>
      <c r="S6" s="352">
        <v>8.962009258030712E-2</v>
      </c>
      <c r="T6" s="270">
        <v>-572.54149999999993</v>
      </c>
      <c r="U6" s="385">
        <v>-5.2552768883297782E-2</v>
      </c>
      <c r="V6" s="384">
        <v>-1.9313414916659797E-3</v>
      </c>
      <c r="W6" s="384">
        <v>3.4693894730953898E-2</v>
      </c>
      <c r="X6" s="383">
        <v>7.4663681617073596E-2</v>
      </c>
      <c r="Y6" s="412">
        <v>2.8919942290128471E-6</v>
      </c>
      <c r="Z6" s="346">
        <v>-6.8803481180767898</v>
      </c>
      <c r="AA6" s="339">
        <v>1.1137587115445295E-2</v>
      </c>
      <c r="AB6" s="346">
        <v>66.720747040887318</v>
      </c>
      <c r="AC6" s="339">
        <v>-7.9058471208560936</v>
      </c>
      <c r="AD6" s="411">
        <v>4</v>
      </c>
      <c r="AE6" s="385">
        <v>-2.24897724270261E-2</v>
      </c>
      <c r="AF6" s="384">
        <v>0.95484538751176173</v>
      </c>
      <c r="AG6" s="384">
        <v>0.44352216571244241</v>
      </c>
      <c r="AH6" s="384">
        <v>2.1557675503859786E-2</v>
      </c>
      <c r="AI6" s="383">
        <v>-0.74937818187674976</v>
      </c>
      <c r="AJ6" s="426">
        <v>43.790537175127959</v>
      </c>
      <c r="AK6" s="365">
        <v>47.717981435564958</v>
      </c>
      <c r="AL6" s="365">
        <v>33.15621818236815</v>
      </c>
      <c r="AM6" s="365">
        <v>43.638907410958602</v>
      </c>
      <c r="AN6" s="425">
        <v>51.630108432399034</v>
      </c>
    </row>
    <row r="7" spans="1:40" ht="15" customHeight="1" x14ac:dyDescent="0.2">
      <c r="A7" s="305">
        <v>5</v>
      </c>
      <c r="B7" s="307">
        <v>39.299999999999997</v>
      </c>
      <c r="C7" s="307">
        <v>40.951838915093312</v>
      </c>
      <c r="D7" s="305">
        <v>1</v>
      </c>
      <c r="E7" s="299">
        <v>-1.2210000000000001</v>
      </c>
      <c r="F7" s="299">
        <v>-0.89200000000000002</v>
      </c>
      <c r="G7" s="299">
        <v>0.71199999999999997</v>
      </c>
      <c r="H7" s="299">
        <v>-1.22</v>
      </c>
      <c r="I7" s="304">
        <f t="shared" si="0"/>
        <v>-0.1308198609598018</v>
      </c>
      <c r="J7" s="305">
        <f t="shared" si="1"/>
        <v>1</v>
      </c>
      <c r="K7" s="299">
        <f t="shared" si="2"/>
        <v>-1.2210000000000001</v>
      </c>
      <c r="L7" s="299">
        <f t="shared" si="3"/>
        <v>-0.89200000000000002</v>
      </c>
      <c r="M7" s="427">
        <f t="shared" si="4"/>
        <v>0.71199999999999997</v>
      </c>
      <c r="N7" s="352">
        <v>3.8689352990822056E-3</v>
      </c>
      <c r="O7" s="355">
        <v>-153.78213790520704</v>
      </c>
      <c r="P7" s="355">
        <v>4.5603799383070154</v>
      </c>
      <c r="Q7" s="355">
        <v>8.3573067064105846</v>
      </c>
      <c r="R7" s="355">
        <v>156.12808325904069</v>
      </c>
      <c r="S7" s="352">
        <v>1.747455852449628</v>
      </c>
      <c r="T7" s="270">
        <v>114.40630000000017</v>
      </c>
      <c r="U7" s="431">
        <v>-1.0502845696308537E-5</v>
      </c>
      <c r="V7" s="418">
        <v>-1.3504547923603616E-5</v>
      </c>
      <c r="W7" s="418">
        <v>1.0854471329824658E-6</v>
      </c>
      <c r="X7" s="417">
        <v>2.8919942290128454E-6</v>
      </c>
      <c r="Y7" s="430">
        <v>3.5714288685649354E-2</v>
      </c>
      <c r="Z7" s="416">
        <v>-1.000000000005663E-3</v>
      </c>
      <c r="AA7" s="415">
        <v>2.5151489663470589E-5</v>
      </c>
      <c r="AB7" s="416">
        <v>1391.8000000000002</v>
      </c>
      <c r="AC7" s="415">
        <v>49.711605387595931</v>
      </c>
      <c r="AD7" s="411">
        <v>5</v>
      </c>
      <c r="AE7" s="385">
        <v>6.5505437729054261E-3</v>
      </c>
      <c r="AF7" s="384">
        <v>-0.21147836221145211</v>
      </c>
      <c r="AG7" s="384">
        <v>-0.11504827777912285</v>
      </c>
      <c r="AH7" s="384">
        <v>-6.7281984009652795E-3</v>
      </c>
      <c r="AI7" s="383">
        <v>-0.18879041218248271</v>
      </c>
      <c r="AJ7" s="426">
        <v>48.462131798775843</v>
      </c>
      <c r="AK7" s="365">
        <v>47.494807675963834</v>
      </c>
      <c r="AL7" s="365">
        <v>51.176125779893248</v>
      </c>
      <c r="AM7" s="365">
        <v>48.538556414516187</v>
      </c>
      <c r="AN7" s="425">
        <v>49.678440411729945</v>
      </c>
    </row>
    <row r="8" spans="1:40" ht="15" customHeight="1" x14ac:dyDescent="0.2">
      <c r="A8" s="305">
        <v>6</v>
      </c>
      <c r="B8" s="307">
        <v>33.1</v>
      </c>
      <c r="C8" s="307">
        <v>33.550979908370124</v>
      </c>
      <c r="D8" s="305">
        <v>1</v>
      </c>
      <c r="E8" s="299">
        <v>-1.2210000000000001</v>
      </c>
      <c r="F8" s="299">
        <v>-1.167</v>
      </c>
      <c r="G8" s="299">
        <v>0.81899999999999995</v>
      </c>
      <c r="H8" s="299">
        <v>-1.22</v>
      </c>
      <c r="I8" s="304">
        <f t="shared" si="0"/>
        <v>0.30761907777142072</v>
      </c>
      <c r="J8" s="305">
        <f t="shared" si="1"/>
        <v>1</v>
      </c>
      <c r="K8" s="299">
        <f t="shared" si="2"/>
        <v>-1.2210000000000001</v>
      </c>
      <c r="L8" s="299">
        <f t="shared" si="3"/>
        <v>-1.167</v>
      </c>
      <c r="M8" s="427">
        <f t="shared" si="4"/>
        <v>0.81899999999999995</v>
      </c>
      <c r="N8" s="354">
        <v>4.533967005789599E-5</v>
      </c>
      <c r="O8" s="353">
        <v>-1.687680387795603</v>
      </c>
      <c r="P8" s="353">
        <v>-2.2035782476064404E-3</v>
      </c>
      <c r="Q8" s="353">
        <v>8.9620092580307675E-2</v>
      </c>
      <c r="R8" s="353">
        <v>1.7474558524496415</v>
      </c>
      <c r="S8" s="352">
        <v>9.3460368959175741E-2</v>
      </c>
      <c r="T8" s="287">
        <v>66.720747040887318</v>
      </c>
      <c r="U8" s="1529" t="s">
        <v>166</v>
      </c>
      <c r="V8" s="1530"/>
      <c r="W8" s="1530"/>
      <c r="X8" s="1530"/>
      <c r="Y8" s="1531"/>
      <c r="Z8" s="1529" t="s">
        <v>149</v>
      </c>
      <c r="AA8" s="1535"/>
      <c r="AB8" s="1535"/>
      <c r="AC8" s="1536"/>
      <c r="AD8" s="411">
        <v>6</v>
      </c>
      <c r="AE8" s="385">
        <v>4.0671495821995585E-3</v>
      </c>
      <c r="AF8" s="384">
        <v>-0.36039602518050828</v>
      </c>
      <c r="AG8" s="384">
        <v>-8.413738142793048E-2</v>
      </c>
      <c r="AH8" s="384">
        <v>-4.1259758187208728E-3</v>
      </c>
      <c r="AI8" s="383">
        <v>0.35873576895667414</v>
      </c>
      <c r="AJ8" s="426">
        <v>49.5087572073381</v>
      </c>
      <c r="AK8" s="365">
        <v>48.300979523320578</v>
      </c>
      <c r="AL8" s="365">
        <v>51.538489832826329</v>
      </c>
      <c r="AM8" s="365">
        <v>49.552510930344468</v>
      </c>
      <c r="AN8" s="425">
        <v>46.171911461415121</v>
      </c>
    </row>
    <row r="9" spans="1:40" ht="15" customHeight="1" x14ac:dyDescent="0.2">
      <c r="A9" s="305">
        <v>7</v>
      </c>
      <c r="B9" s="307">
        <v>33.700000000000003</v>
      </c>
      <c r="C9" s="307">
        <v>35.273438861721132</v>
      </c>
      <c r="D9" s="305">
        <v>1</v>
      </c>
      <c r="E9" s="299">
        <v>-1.2210000000000001</v>
      </c>
      <c r="F9" s="299">
        <v>-1.246</v>
      </c>
      <c r="G9" s="299">
        <v>0.70099999999999996</v>
      </c>
      <c r="H9" s="299">
        <v>-1.22</v>
      </c>
      <c r="I9" s="304">
        <f t="shared" si="0"/>
        <v>0.45522524064574932</v>
      </c>
      <c r="J9" s="305">
        <f t="shared" si="1"/>
        <v>1</v>
      </c>
      <c r="K9" s="299">
        <f t="shared" si="2"/>
        <v>-1.2210000000000001</v>
      </c>
      <c r="L9" s="299">
        <f t="shared" si="3"/>
        <v>-1.246</v>
      </c>
      <c r="M9" s="427">
        <f t="shared" si="4"/>
        <v>0.70099999999999996</v>
      </c>
      <c r="N9" s="442" t="s">
        <v>27</v>
      </c>
      <c r="O9" s="329" t="s">
        <v>30</v>
      </c>
      <c r="P9" s="333" t="s">
        <v>31</v>
      </c>
      <c r="Q9" s="333" t="s">
        <v>32</v>
      </c>
      <c r="R9" s="350" t="s">
        <v>3</v>
      </c>
      <c r="S9" s="349" t="s">
        <v>33</v>
      </c>
      <c r="T9" s="336" t="s">
        <v>165</v>
      </c>
      <c r="U9" s="424">
        <v>3</v>
      </c>
      <c r="V9" s="361">
        <v>4</v>
      </c>
      <c r="W9" s="361">
        <v>22</v>
      </c>
      <c r="X9" s="334">
        <v>0</v>
      </c>
      <c r="Y9" s="360">
        <v>1</v>
      </c>
      <c r="Z9" s="424" t="s">
        <v>164</v>
      </c>
      <c r="AA9" s="360" t="s">
        <v>163</v>
      </c>
      <c r="AB9" s="424" t="s">
        <v>162</v>
      </c>
      <c r="AC9" s="360" t="s">
        <v>161</v>
      </c>
      <c r="AD9" s="411">
        <v>7</v>
      </c>
      <c r="AE9" s="385">
        <v>1.1181143721266551E-2</v>
      </c>
      <c r="AF9" s="384">
        <v>-0.58437621348578395</v>
      </c>
      <c r="AG9" s="384">
        <v>-0.22021980523175866</v>
      </c>
      <c r="AH9" s="384">
        <v>-1.1097796202273136E-2</v>
      </c>
      <c r="AI9" s="383">
        <v>0.39505317533723905</v>
      </c>
      <c r="AJ9" s="426">
        <v>48.828119740672804</v>
      </c>
      <c r="AK9" s="365">
        <v>46.584889817820958</v>
      </c>
      <c r="AL9" s="365">
        <v>54.107429031202756</v>
      </c>
      <c r="AM9" s="365">
        <v>48.930802584681686</v>
      </c>
      <c r="AN9" s="425">
        <v>44.737211509704899</v>
      </c>
    </row>
    <row r="10" spans="1:40" ht="15" customHeight="1" x14ac:dyDescent="0.2">
      <c r="A10" s="305">
        <v>8</v>
      </c>
      <c r="B10" s="307">
        <v>32.200000000000003</v>
      </c>
      <c r="C10" s="307">
        <v>33.550979908370124</v>
      </c>
      <c r="D10" s="305">
        <v>1</v>
      </c>
      <c r="E10" s="299">
        <v>-1.2210000000000001</v>
      </c>
      <c r="F10" s="299">
        <v>-1.167</v>
      </c>
      <c r="G10" s="299">
        <v>0.81899999999999995</v>
      </c>
      <c r="H10" s="299">
        <v>-1.22</v>
      </c>
      <c r="I10" s="304">
        <f t="shared" si="0"/>
        <v>0.30761907777142072</v>
      </c>
      <c r="J10" s="305">
        <f t="shared" si="1"/>
        <v>1</v>
      </c>
      <c r="K10" s="299">
        <f t="shared" si="2"/>
        <v>-1.2210000000000001</v>
      </c>
      <c r="L10" s="299">
        <f t="shared" si="3"/>
        <v>-1.167</v>
      </c>
      <c r="M10" s="427">
        <f t="shared" si="4"/>
        <v>0.81899999999999995</v>
      </c>
      <c r="N10" s="348" t="s">
        <v>5</v>
      </c>
      <c r="O10" s="345">
        <f>SUMSQ(y_hat)-28*y_bar^2</f>
        <v>13639.343206155376</v>
      </c>
      <c r="P10" s="245">
        <f>6-1</f>
        <v>5</v>
      </c>
      <c r="Q10" s="245">
        <f>O10/P10</f>
        <v>2727.8686412310753</v>
      </c>
      <c r="R10" s="346">
        <f>Q10/Q11</f>
        <v>88.727522006725962</v>
      </c>
      <c r="S10" s="339">
        <f>FDIST(R10,P10,P11)</f>
        <v>7.899909053972802E-14</v>
      </c>
      <c r="T10" s="287">
        <f>_xlfn.T.INV.2T(0.05/2,P11)</f>
        <v>2.4054727462619341</v>
      </c>
      <c r="U10" s="429">
        <f t="array" ref="U10:Y14">MINVERSE(MMULT(TRANSPOSE(X_not_2),X_not_2))</f>
        <v>0.16704458516252182</v>
      </c>
      <c r="V10" s="355">
        <v>2.8078712785391464</v>
      </c>
      <c r="W10" s="355">
        <v>9.2301583017664598E-2</v>
      </c>
      <c r="X10" s="412">
        <v>6.7661720066402949E-5</v>
      </c>
      <c r="Y10" s="352">
        <v>-2.7189468842424529</v>
      </c>
      <c r="Z10" s="346">
        <f t="array" ref="Z10:Z14">MMULT(TRANSPOSE(X_not_2),x_2)</f>
        <v>-17.183702000000004</v>
      </c>
      <c r="AA10" s="339">
        <f t="array" ref="AA10:AA14">MMULT(U10:Y14,Z10:Z14)</f>
        <v>-1.2168800632717485</v>
      </c>
      <c r="AB10" s="346">
        <f t="array" ref="AB10:AB14">MMULT(TRANSPOSE(X_not_2),y)</f>
        <v>-572.54149999999993</v>
      </c>
      <c r="AC10" s="339">
        <f t="array" ref="AC10:AC14">MMULT(U10:Y14,AB10:AB14)</f>
        <v>-30.351377919208687</v>
      </c>
      <c r="AD10" s="411">
        <v>8</v>
      </c>
      <c r="AE10" s="385">
        <v>4.0671495821995585E-3</v>
      </c>
      <c r="AF10" s="384">
        <v>-0.36039602518050828</v>
      </c>
      <c r="AG10" s="384">
        <v>-8.413738142793048E-2</v>
      </c>
      <c r="AH10" s="384">
        <v>-4.1259758187208728E-3</v>
      </c>
      <c r="AI10" s="383">
        <v>0.35873576895667414</v>
      </c>
      <c r="AJ10" s="426">
        <v>48.608757207338101</v>
      </c>
      <c r="AK10" s="365">
        <v>47.400979523320579</v>
      </c>
      <c r="AL10" s="365">
        <v>50.63848983282633</v>
      </c>
      <c r="AM10" s="365">
        <v>48.652510930344469</v>
      </c>
      <c r="AN10" s="425">
        <v>45.271911461415122</v>
      </c>
    </row>
    <row r="11" spans="1:40" ht="15" customHeight="1" x14ac:dyDescent="0.2">
      <c r="A11" s="305">
        <v>9</v>
      </c>
      <c r="B11" s="307">
        <v>31.9</v>
      </c>
      <c r="C11" s="307">
        <v>32.750702871909994</v>
      </c>
      <c r="D11" s="305">
        <v>1</v>
      </c>
      <c r="E11" s="299">
        <v>-1.2210000000000001</v>
      </c>
      <c r="F11" s="299">
        <v>-1.246</v>
      </c>
      <c r="G11" s="299">
        <v>0.79400000000000004</v>
      </c>
      <c r="H11" s="299">
        <v>-1.22</v>
      </c>
      <c r="I11" s="304">
        <f t="shared" si="0"/>
        <v>0.45522524064574932</v>
      </c>
      <c r="J11" s="305">
        <f t="shared" si="1"/>
        <v>1</v>
      </c>
      <c r="K11" s="299">
        <f t="shared" si="2"/>
        <v>-1.2210000000000001</v>
      </c>
      <c r="L11" s="299">
        <f t="shared" si="3"/>
        <v>-1.246</v>
      </c>
      <c r="M11" s="427">
        <f t="shared" si="4"/>
        <v>0.79400000000000004</v>
      </c>
      <c r="N11" s="342" t="s">
        <v>6</v>
      </c>
      <c r="O11" s="345">
        <f>SUMSQ(y)-SUMSQ(y_hat)</f>
        <v>676.37536527318298</v>
      </c>
      <c r="P11" s="245">
        <f>28-6</f>
        <v>22</v>
      </c>
      <c r="Q11" s="245">
        <f>O11/P11</f>
        <v>30.74433478514468</v>
      </c>
      <c r="R11" s="294" t="s">
        <v>111</v>
      </c>
      <c r="S11" s="344">
        <f>SQRT(Q11)</f>
        <v>5.5447574144541871</v>
      </c>
      <c r="U11" s="429">
        <v>2.8078712785391486</v>
      </c>
      <c r="V11" s="355">
        <v>67.358294843439907</v>
      </c>
      <c r="W11" s="355">
        <v>1.7903494660173274</v>
      </c>
      <c r="X11" s="412">
        <v>1.8601340109948145E-3</v>
      </c>
      <c r="Y11" s="352">
        <v>-65.785609707751661</v>
      </c>
      <c r="Z11" s="346">
        <v>8.0445540000000015</v>
      </c>
      <c r="AA11" s="339">
        <v>-19.46543700666416</v>
      </c>
      <c r="AB11" s="346">
        <v>114.40630000000017</v>
      </c>
      <c r="AC11" s="339">
        <v>-123.41558721021374</v>
      </c>
      <c r="AD11" s="411">
        <v>9</v>
      </c>
      <c r="AE11" s="385">
        <v>6.1361817543772457E-3</v>
      </c>
      <c r="AF11" s="384">
        <v>-0.47120636760151191</v>
      </c>
      <c r="AG11" s="384">
        <v>-0.12721980523175858</v>
      </c>
      <c r="AH11" s="384">
        <v>-6.1196429612149217E-3</v>
      </c>
      <c r="AI11" s="383">
        <v>0.48423181546874994</v>
      </c>
      <c r="AJ11" s="426">
        <v>49.237533488026202</v>
      </c>
      <c r="AK11" s="365">
        <v>47.60756796430735</v>
      </c>
      <c r="AL11" s="365">
        <v>52.307429031202744</v>
      </c>
      <c r="AM11" s="365">
        <v>49.295982997400529</v>
      </c>
      <c r="AN11" s="425">
        <v>44.69322899172397</v>
      </c>
    </row>
    <row r="12" spans="1:40" ht="15" customHeight="1" x14ac:dyDescent="0.2">
      <c r="A12" s="283">
        <v>10</v>
      </c>
      <c r="B12" s="303">
        <v>30.6</v>
      </c>
      <c r="C12" s="303">
        <v>29.069914928396063</v>
      </c>
      <c r="D12" s="283">
        <v>1</v>
      </c>
      <c r="E12" s="282">
        <v>-1.2210000000000001</v>
      </c>
      <c r="F12" s="282">
        <v>-1.089</v>
      </c>
      <c r="G12" s="282">
        <v>1.0349999999999999</v>
      </c>
      <c r="H12" s="282">
        <v>-1.22</v>
      </c>
      <c r="I12" s="281">
        <f t="shared" si="0"/>
        <v>0.17136366133686592</v>
      </c>
      <c r="J12" s="283">
        <f t="shared" si="1"/>
        <v>1</v>
      </c>
      <c r="K12" s="282">
        <f t="shared" si="2"/>
        <v>-1.2210000000000001</v>
      </c>
      <c r="L12" s="282">
        <f t="shared" si="3"/>
        <v>-1.089</v>
      </c>
      <c r="M12" s="414">
        <f t="shared" si="4"/>
        <v>1.0349999999999999</v>
      </c>
      <c r="N12" s="342" t="s">
        <v>7</v>
      </c>
      <c r="O12" s="341">
        <f>SUMSQ(y)-28*y_bar^2</f>
        <v>14315.718571428559</v>
      </c>
      <c r="P12" s="340">
        <f>28-1</f>
        <v>27</v>
      </c>
      <c r="Q12" s="340"/>
      <c r="R12" s="302" t="s">
        <v>110</v>
      </c>
      <c r="S12" s="339">
        <f>O10/O12</f>
        <v>0.95275295739446153</v>
      </c>
      <c r="U12" s="429">
        <v>9.2301583017664654E-2</v>
      </c>
      <c r="V12" s="355">
        <v>1.7903494660173271</v>
      </c>
      <c r="W12" s="355">
        <v>9.3439642740057588E-2</v>
      </c>
      <c r="X12" s="412">
        <v>4.6310324012616713E-5</v>
      </c>
      <c r="Y12" s="352">
        <v>-1.730200361574618</v>
      </c>
      <c r="Z12" s="346">
        <v>14.828102057085067</v>
      </c>
      <c r="AA12" s="339">
        <v>9.4057105216656112E-3</v>
      </c>
      <c r="AB12" s="346">
        <v>66.720747040887318</v>
      </c>
      <c r="AC12" s="339">
        <v>-8.5726291119994187</v>
      </c>
      <c r="AD12" s="411">
        <v>10</v>
      </c>
      <c r="AE12" s="382">
        <v>-8.4596275970720836E-3</v>
      </c>
      <c r="AF12" s="381">
        <v>-1.8268352509815511E-2</v>
      </c>
      <c r="AG12" s="381">
        <v>0.15136957572732113</v>
      </c>
      <c r="AH12" s="381">
        <v>8.1894738989696236E-3</v>
      </c>
      <c r="AI12" s="380">
        <v>0.42776587736755928</v>
      </c>
      <c r="AJ12" s="423">
        <v>50.711834574652691</v>
      </c>
      <c r="AK12" s="422">
        <v>51.188810004275197</v>
      </c>
      <c r="AL12" s="422">
        <v>47.131147536816968</v>
      </c>
      <c r="AM12" s="422">
        <v>50.649019425668413</v>
      </c>
      <c r="AN12" s="421">
        <v>47.559486098460965</v>
      </c>
    </row>
    <row r="13" spans="1:40" ht="15" customHeight="1" x14ac:dyDescent="0.2">
      <c r="A13" s="291">
        <v>11</v>
      </c>
      <c r="B13" s="309">
        <v>26.2</v>
      </c>
      <c r="C13" s="309">
        <v>20.028518149098968</v>
      </c>
      <c r="D13" s="291">
        <v>1</v>
      </c>
      <c r="E13" s="290">
        <v>-1.2210000000000001</v>
      </c>
      <c r="F13" s="290">
        <v>-1.246</v>
      </c>
      <c r="G13" s="290">
        <v>1.2629999999999999</v>
      </c>
      <c r="H13" s="290">
        <v>-1.22</v>
      </c>
      <c r="I13" s="289">
        <f t="shared" si="0"/>
        <v>0.45522524064574932</v>
      </c>
      <c r="J13" s="291">
        <f t="shared" si="1"/>
        <v>1</v>
      </c>
      <c r="K13" s="290">
        <f t="shared" si="2"/>
        <v>-1.2210000000000001</v>
      </c>
      <c r="L13" s="290">
        <f t="shared" si="3"/>
        <v>-1.246</v>
      </c>
      <c r="M13" s="420">
        <f t="shared" si="4"/>
        <v>1.2629999999999999</v>
      </c>
      <c r="N13" s="1529" t="s">
        <v>108</v>
      </c>
      <c r="O13" s="1535"/>
      <c r="P13" s="1535"/>
      <c r="Q13" s="1535"/>
      <c r="R13" s="1535"/>
      <c r="S13" s="1535"/>
      <c r="T13" s="1544"/>
      <c r="U13" s="431">
        <v>6.7661720066403152E-5</v>
      </c>
      <c r="V13" s="418">
        <v>1.860134010994816E-3</v>
      </c>
      <c r="W13" s="418">
        <v>4.6310324012616768E-5</v>
      </c>
      <c r="X13" s="430">
        <v>3.5714339085403717E-2</v>
      </c>
      <c r="Y13" s="417">
        <v>-1.8199063975962988E-3</v>
      </c>
      <c r="Z13" s="416">
        <v>1.0269562977782698E-15</v>
      </c>
      <c r="AA13" s="415">
        <v>-4.4048989673265392E-4</v>
      </c>
      <c r="AB13" s="416">
        <v>1391.8000000000002</v>
      </c>
      <c r="AC13" s="415">
        <v>49.708875868047926</v>
      </c>
      <c r="AD13" s="411">
        <v>11</v>
      </c>
      <c r="AE13" s="388">
        <v>-1.9305615691547429E-2</v>
      </c>
      <c r="AF13" s="387">
        <v>9.951038207293772E-2</v>
      </c>
      <c r="AG13" s="387">
        <v>0.34178019476824129</v>
      </c>
      <c r="AH13" s="387">
        <v>1.8985237361970775E-2</v>
      </c>
      <c r="AI13" s="386">
        <v>0.9339606565620644</v>
      </c>
      <c r="AJ13" s="434">
        <v>54.679630773066421</v>
      </c>
      <c r="AK13" s="433">
        <v>56.142364208416225</v>
      </c>
      <c r="AL13" s="433">
        <v>46.607429031202749</v>
      </c>
      <c r="AM13" s="433">
        <v>54.515011100251499</v>
      </c>
      <c r="AN13" s="432">
        <v>47.848844035454547</v>
      </c>
    </row>
    <row r="14" spans="1:40" ht="15" customHeight="1" x14ac:dyDescent="0.2">
      <c r="A14" s="305">
        <v>12</v>
      </c>
      <c r="B14" s="307">
        <v>28.2</v>
      </c>
      <c r="C14" s="307">
        <v>28.000784265904958</v>
      </c>
      <c r="D14" s="305">
        <v>1</v>
      </c>
      <c r="E14" s="299">
        <v>0.79</v>
      </c>
      <c r="F14" s="299">
        <v>-0.224</v>
      </c>
      <c r="G14" s="299">
        <v>0.83099999999999996</v>
      </c>
      <c r="H14" s="299">
        <v>0.748</v>
      </c>
      <c r="I14" s="304">
        <f t="shared" si="0"/>
        <v>-0.70806559817886061</v>
      </c>
      <c r="J14" s="305">
        <f t="shared" si="1"/>
        <v>1</v>
      </c>
      <c r="K14" s="299">
        <f t="shared" si="2"/>
        <v>0.79</v>
      </c>
      <c r="L14" s="299">
        <f t="shared" si="3"/>
        <v>-0.224</v>
      </c>
      <c r="M14" s="427">
        <f t="shared" si="4"/>
        <v>0.83099999999999996</v>
      </c>
      <c r="N14" s="333" t="s">
        <v>106</v>
      </c>
      <c r="O14" s="334" t="s">
        <v>86</v>
      </c>
      <c r="P14" s="333" t="s">
        <v>44</v>
      </c>
      <c r="Q14" s="332" t="s">
        <v>43</v>
      </c>
      <c r="R14" s="332" t="s">
        <v>33</v>
      </c>
      <c r="S14" s="333" t="s">
        <v>102</v>
      </c>
      <c r="T14" s="330" t="s">
        <v>101</v>
      </c>
      <c r="U14" s="428">
        <v>-2.7189468842424529</v>
      </c>
      <c r="V14" s="353">
        <v>-65.785609707751661</v>
      </c>
      <c r="W14" s="353">
        <v>-1.7302003615746184</v>
      </c>
      <c r="X14" s="410">
        <v>-1.8199063975962975E-3</v>
      </c>
      <c r="Y14" s="354">
        <v>64.300158977314354</v>
      </c>
      <c r="Z14" s="286">
        <v>8.202868999999998</v>
      </c>
      <c r="AA14" s="393">
        <v>19.295876525167841</v>
      </c>
      <c r="AB14" s="286">
        <v>96.435200000000037</v>
      </c>
      <c r="AC14" s="393">
        <v>113.24721224680161</v>
      </c>
      <c r="AD14" s="411">
        <v>12</v>
      </c>
      <c r="AE14" s="385">
        <v>3.4803921916637393E-4</v>
      </c>
      <c r="AF14" s="384">
        <v>0.11073210862457314</v>
      </c>
      <c r="AG14" s="384">
        <v>0.11170876557182441</v>
      </c>
      <c r="AH14" s="384">
        <v>-9.0504785343448191E-5</v>
      </c>
      <c r="AI14" s="383">
        <v>-0.18546216798157111</v>
      </c>
      <c r="AJ14" s="426">
        <v>49.927973903567725</v>
      </c>
      <c r="AK14" s="365">
        <v>50.199839838070588</v>
      </c>
      <c r="AL14" s="365">
        <v>46.876125007522276</v>
      </c>
      <c r="AM14" s="365">
        <v>49.91285909236359</v>
      </c>
      <c r="AN14" s="425">
        <v>51.500880289225833</v>
      </c>
    </row>
    <row r="15" spans="1:40" ht="15" customHeight="1" x14ac:dyDescent="0.2">
      <c r="A15" s="305">
        <v>13</v>
      </c>
      <c r="B15" s="307">
        <v>29.3</v>
      </c>
      <c r="C15" s="307">
        <v>28.000784265904958</v>
      </c>
      <c r="D15" s="305">
        <v>1</v>
      </c>
      <c r="E15" s="299">
        <v>0.79</v>
      </c>
      <c r="F15" s="299">
        <v>-0.224</v>
      </c>
      <c r="G15" s="299">
        <v>0.83099999999999996</v>
      </c>
      <c r="H15" s="299">
        <v>0.748</v>
      </c>
      <c r="I15" s="304">
        <f t="shared" si="0"/>
        <v>-0.70806559817886061</v>
      </c>
      <c r="J15" s="305">
        <f t="shared" si="1"/>
        <v>1</v>
      </c>
      <c r="K15" s="299">
        <f t="shared" si="2"/>
        <v>0.79</v>
      </c>
      <c r="L15" s="299">
        <f t="shared" si="3"/>
        <v>-0.224</v>
      </c>
      <c r="M15" s="427">
        <f t="shared" si="4"/>
        <v>0.83099999999999996</v>
      </c>
      <c r="N15" s="329">
        <v>0</v>
      </c>
      <c r="O15" s="337">
        <f t="array" ref="O15:O20">MMULT(N3:S8,T3:T8)</f>
        <v>49.710043330003778</v>
      </c>
      <c r="P15" s="312" t="e">
        <f t="array" aca="1" ref="P15:P20" ca="1">[5]!DIAG(N3:S8)*s</f>
        <v>#NAME?</v>
      </c>
      <c r="Q15" s="312" t="e">
        <f t="shared" ref="Q15:Q20" ca="1" si="5">O15/P15</f>
        <v>#NAME?</v>
      </c>
      <c r="R15" s="311" t="e">
        <f t="shared" ref="R15:R20" ca="1" si="6">IF(TDIST(ABS(Q15),DFR,2)&lt;0.0001,"&lt; 0.0001",TDIST(ABS(Q15),DFR,2))</f>
        <v>#NAME?</v>
      </c>
      <c r="S15" s="310" t="e">
        <f t="shared" ref="S15:S20" ca="1" si="7">IF(TDIST(ABS(Q15),DFR,2)&lt;=0.05,"*","")</f>
        <v>#NAME?</v>
      </c>
      <c r="T15" s="327" t="s">
        <v>100</v>
      </c>
      <c r="U15" s="1529" t="s">
        <v>160</v>
      </c>
      <c r="V15" s="1530"/>
      <c r="W15" s="1530"/>
      <c r="X15" s="1530"/>
      <c r="Y15" s="1531"/>
      <c r="Z15" s="1529" t="s">
        <v>149</v>
      </c>
      <c r="AA15" s="1535"/>
      <c r="AB15" s="1535"/>
      <c r="AC15" s="1536"/>
      <c r="AD15" s="411">
        <v>13</v>
      </c>
      <c r="AE15" s="385">
        <v>3.4803921916637393E-4</v>
      </c>
      <c r="AF15" s="384">
        <v>0.11073210862457314</v>
      </c>
      <c r="AG15" s="384">
        <v>0.11170876557182441</v>
      </c>
      <c r="AH15" s="384">
        <v>-9.0504785343448191E-5</v>
      </c>
      <c r="AI15" s="383">
        <v>-0.18546216798157111</v>
      </c>
      <c r="AJ15" s="426">
        <v>51.027973903567727</v>
      </c>
      <c r="AK15" s="365">
        <v>51.299839838070596</v>
      </c>
      <c r="AL15" s="365">
        <v>47.976125007522285</v>
      </c>
      <c r="AM15" s="365">
        <v>51.012859092363584</v>
      </c>
      <c r="AN15" s="425">
        <v>52.600880289225827</v>
      </c>
    </row>
    <row r="16" spans="1:40" ht="15" customHeight="1" x14ac:dyDescent="0.2">
      <c r="A16" s="305">
        <v>14</v>
      </c>
      <c r="B16" s="307">
        <v>30.4</v>
      </c>
      <c r="C16" s="307">
        <v>28.000784265904958</v>
      </c>
      <c r="D16" s="305">
        <v>1</v>
      </c>
      <c r="E16" s="299">
        <v>0.79</v>
      </c>
      <c r="F16" s="299">
        <v>-0.224</v>
      </c>
      <c r="G16" s="299">
        <v>0.83099999999999996</v>
      </c>
      <c r="H16" s="299">
        <v>0.748</v>
      </c>
      <c r="I16" s="304">
        <f t="shared" si="0"/>
        <v>-0.70806559817886061</v>
      </c>
      <c r="J16" s="305">
        <f t="shared" si="1"/>
        <v>1</v>
      </c>
      <c r="K16" s="299">
        <f t="shared" si="2"/>
        <v>0.79</v>
      </c>
      <c r="L16" s="299">
        <f t="shared" si="3"/>
        <v>-0.224</v>
      </c>
      <c r="M16" s="427">
        <f t="shared" si="4"/>
        <v>0.83099999999999996</v>
      </c>
      <c r="N16" s="437" t="s">
        <v>99</v>
      </c>
      <c r="O16" s="270">
        <v>62.105967203348612</v>
      </c>
      <c r="P16" s="245" t="e">
        <f ca="1"/>
        <v>#NAME?</v>
      </c>
      <c r="Q16" s="245" t="e">
        <f t="shared" ca="1" si="5"/>
        <v>#NAME?</v>
      </c>
      <c r="R16" s="318" t="e">
        <f t="shared" ca="1" si="6"/>
        <v>#NAME?</v>
      </c>
      <c r="S16" s="317" t="e">
        <f t="shared" ca="1" si="7"/>
        <v>#NAME?</v>
      </c>
      <c r="T16" s="307" t="e">
        <f t="array" aca="1" ref="T16" ca="1">[5]!VIF(E$3:I$30,1)</f>
        <v>#NAME?</v>
      </c>
      <c r="U16" s="424">
        <v>4</v>
      </c>
      <c r="V16" s="361">
        <v>22</v>
      </c>
      <c r="W16" s="334">
        <v>0</v>
      </c>
      <c r="X16" s="361">
        <v>1</v>
      </c>
      <c r="Y16" s="360">
        <v>2</v>
      </c>
      <c r="Z16" s="424" t="s">
        <v>159</v>
      </c>
      <c r="AA16" s="360" t="s">
        <v>158</v>
      </c>
      <c r="AB16" s="424" t="s">
        <v>157</v>
      </c>
      <c r="AC16" s="360" t="s">
        <v>156</v>
      </c>
      <c r="AD16" s="411">
        <v>14</v>
      </c>
      <c r="AE16" s="385">
        <v>3.4803921916637393E-4</v>
      </c>
      <c r="AF16" s="384">
        <v>0.11073210862457314</v>
      </c>
      <c r="AG16" s="384">
        <v>0.11170876557182441</v>
      </c>
      <c r="AH16" s="384">
        <v>-9.0504785343448191E-5</v>
      </c>
      <c r="AI16" s="383">
        <v>-0.18546216798157111</v>
      </c>
      <c r="AJ16" s="426">
        <v>52.127973903567721</v>
      </c>
      <c r="AK16" s="365">
        <v>52.399839838070591</v>
      </c>
      <c r="AL16" s="365">
        <v>49.076125007522279</v>
      </c>
      <c r="AM16" s="365">
        <v>52.112859092363585</v>
      </c>
      <c r="AN16" s="425">
        <v>53.700880289225829</v>
      </c>
    </row>
    <row r="17" spans="1:48" ht="15" customHeight="1" x14ac:dyDescent="0.2">
      <c r="A17" s="305">
        <v>15</v>
      </c>
      <c r="B17" s="307">
        <v>29.7</v>
      </c>
      <c r="C17" s="307">
        <v>28.436547345327089</v>
      </c>
      <c r="D17" s="305">
        <v>1</v>
      </c>
      <c r="E17" s="299">
        <v>0.79</v>
      </c>
      <c r="F17" s="299">
        <v>-0.38200000000000001</v>
      </c>
      <c r="G17" s="299">
        <v>0.77600000000000002</v>
      </c>
      <c r="H17" s="299">
        <v>0.748</v>
      </c>
      <c r="I17" s="304">
        <f t="shared" si="0"/>
        <v>-0.63392607501114973</v>
      </c>
      <c r="J17" s="305">
        <f t="shared" si="1"/>
        <v>1</v>
      </c>
      <c r="K17" s="299">
        <f t="shared" si="2"/>
        <v>0.79</v>
      </c>
      <c r="L17" s="299">
        <f t="shared" si="3"/>
        <v>-0.38200000000000001</v>
      </c>
      <c r="M17" s="427">
        <f t="shared" si="4"/>
        <v>0.77600000000000002</v>
      </c>
      <c r="N17" s="437" t="s">
        <v>98</v>
      </c>
      <c r="O17" s="270">
        <v>2.6503716986767971</v>
      </c>
      <c r="P17" s="245" t="e">
        <f ca="1"/>
        <v>#NAME?</v>
      </c>
      <c r="Q17" s="245" t="e">
        <f t="shared" ca="1" si="5"/>
        <v>#NAME?</v>
      </c>
      <c r="R17" s="318" t="e">
        <f t="shared" ca="1" si="6"/>
        <v>#NAME?</v>
      </c>
      <c r="S17" s="317" t="e">
        <f t="shared" ca="1" si="7"/>
        <v>#NAME?</v>
      </c>
      <c r="T17" s="307" t="e">
        <f ca="1">[5]!VIF(E$3:I$30,2)</f>
        <v>#NAME?</v>
      </c>
      <c r="U17" s="441">
        <f t="array" ref="U17:Y21">MINVERSE(MMULT(TRANSPOSE(X_not_3),X_not_3))</f>
        <v>20.234983223996441</v>
      </c>
      <c r="V17" s="439">
        <v>0.2901978345257768</v>
      </c>
      <c r="W17" s="440">
        <v>7.2674823800656903E-4</v>
      </c>
      <c r="X17" s="439">
        <v>-20.121015783794867</v>
      </c>
      <c r="Y17" s="438">
        <v>-7.5324189129193697E-2</v>
      </c>
      <c r="Z17" s="295">
        <f t="array" ref="Z17:Z21">MMULT(TRANSPOSE(X_not_3),x_3)</f>
        <v>-10.910442</v>
      </c>
      <c r="AA17" s="344">
        <f t="array" ref="AA17:AA21">MMULT(U17:Y21,Z17:Z21)</f>
        <v>-16.26039402512221</v>
      </c>
      <c r="AB17" s="295">
        <f t="array" ref="AB17:AB21">MMULT(TRANSPOSE(X_not_3),y)</f>
        <v>114.40630000000017</v>
      </c>
      <c r="AC17" s="344">
        <f t="array" ref="AC17:AC21">MMULT(U17:Y21,AB17:AB21)</f>
        <v>369.25764985167064</v>
      </c>
      <c r="AD17" s="411">
        <v>15</v>
      </c>
      <c r="AE17" s="385">
        <v>7.2195556754719448E-3</v>
      </c>
      <c r="AF17" s="384">
        <v>-0.11489362974850292</v>
      </c>
      <c r="AG17" s="384">
        <v>-1.8004399744316002E-2</v>
      </c>
      <c r="AH17" s="384">
        <v>-6.8198281301043995E-3</v>
      </c>
      <c r="AI17" s="383">
        <v>-0.16033742808307472</v>
      </c>
      <c r="AJ17" s="426">
        <v>51.41897299981818</v>
      </c>
      <c r="AK17" s="365">
        <v>50.666084687171377</v>
      </c>
      <c r="AL17" s="365">
        <v>51.458986342028645</v>
      </c>
      <c r="AM17" s="365">
        <v>51.460429284430958</v>
      </c>
      <c r="AN17" s="425">
        <v>52.349105807799489</v>
      </c>
    </row>
    <row r="18" spans="1:48" ht="15" customHeight="1" x14ac:dyDescent="0.2">
      <c r="A18" s="305">
        <v>16</v>
      </c>
      <c r="B18" s="307">
        <v>29.7</v>
      </c>
      <c r="C18" s="307">
        <v>28.436547345327089</v>
      </c>
      <c r="D18" s="305">
        <v>1</v>
      </c>
      <c r="E18" s="299">
        <v>0.79</v>
      </c>
      <c r="F18" s="299">
        <v>-0.38200000000000001</v>
      </c>
      <c r="G18" s="299">
        <v>0.77600000000000002</v>
      </c>
      <c r="H18" s="299">
        <v>0.748</v>
      </c>
      <c r="I18" s="304">
        <f t="shared" si="0"/>
        <v>-0.63392607501114973</v>
      </c>
      <c r="J18" s="305">
        <f t="shared" si="1"/>
        <v>1</v>
      </c>
      <c r="K18" s="299">
        <f t="shared" si="2"/>
        <v>0.79</v>
      </c>
      <c r="L18" s="299">
        <f t="shared" si="3"/>
        <v>-0.38200000000000001</v>
      </c>
      <c r="M18" s="427">
        <f t="shared" si="4"/>
        <v>0.77600000000000002</v>
      </c>
      <c r="N18" s="437" t="s">
        <v>97</v>
      </c>
      <c r="O18" s="270">
        <v>-27.126193438829468</v>
      </c>
      <c r="P18" s="245" t="e">
        <f ca="1"/>
        <v>#NAME?</v>
      </c>
      <c r="Q18" s="245" t="e">
        <f t="shared" ca="1" si="5"/>
        <v>#NAME?</v>
      </c>
      <c r="R18" s="318" t="e">
        <f t="shared" ca="1" si="6"/>
        <v>#NAME?</v>
      </c>
      <c r="S18" s="317" t="e">
        <f t="shared" ca="1" si="7"/>
        <v>#NAME?</v>
      </c>
      <c r="T18" s="307" t="e">
        <f ca="1">[5]!VIF(E$3:I$30,3)</f>
        <v>#NAME?</v>
      </c>
      <c r="U18" s="429">
        <v>0.29019783452577541</v>
      </c>
      <c r="V18" s="355">
        <v>7.7833372958232797E-2</v>
      </c>
      <c r="W18" s="412">
        <v>1.1644233811403146E-5</v>
      </c>
      <c r="X18" s="355">
        <v>-0.25435712233253588</v>
      </c>
      <c r="Y18" s="352">
        <v>-5.1914836631490956E-2</v>
      </c>
      <c r="Z18" s="346">
        <v>-6.3267579330512289</v>
      </c>
      <c r="AA18" s="339">
        <v>-0.17436933561453316</v>
      </c>
      <c r="AB18" s="346">
        <v>66.720747040887318</v>
      </c>
      <c r="AC18" s="339">
        <v>-3.8675814132922852</v>
      </c>
      <c r="AD18" s="411">
        <v>16</v>
      </c>
      <c r="AE18" s="385">
        <v>7.2195556754719448E-3</v>
      </c>
      <c r="AF18" s="384">
        <v>-0.11489362974850292</v>
      </c>
      <c r="AG18" s="384">
        <v>-1.8004399744316002E-2</v>
      </c>
      <c r="AH18" s="384">
        <v>-6.8198281301043995E-3</v>
      </c>
      <c r="AI18" s="383">
        <v>-0.16033742808307472</v>
      </c>
      <c r="AJ18" s="426">
        <v>51.41897299981818</v>
      </c>
      <c r="AK18" s="365">
        <v>50.666084687171377</v>
      </c>
      <c r="AL18" s="365">
        <v>51.458986342028645</v>
      </c>
      <c r="AM18" s="365">
        <v>51.460429284430958</v>
      </c>
      <c r="AN18" s="425">
        <v>52.349105807799489</v>
      </c>
    </row>
    <row r="19" spans="1:48" ht="15" customHeight="1" x14ac:dyDescent="0.2">
      <c r="A19" s="305">
        <v>17</v>
      </c>
      <c r="B19" s="307">
        <v>30.7</v>
      </c>
      <c r="C19" s="307">
        <v>28.436547345327089</v>
      </c>
      <c r="D19" s="305">
        <v>1</v>
      </c>
      <c r="E19" s="299">
        <v>0.79</v>
      </c>
      <c r="F19" s="299">
        <v>-0.38200000000000001</v>
      </c>
      <c r="G19" s="299">
        <v>0.77600000000000002</v>
      </c>
      <c r="H19" s="299">
        <v>0.748</v>
      </c>
      <c r="I19" s="304">
        <f t="shared" si="0"/>
        <v>-0.63392607501114973</v>
      </c>
      <c r="J19" s="305">
        <f t="shared" si="1"/>
        <v>1</v>
      </c>
      <c r="K19" s="299">
        <f t="shared" si="2"/>
        <v>0.79</v>
      </c>
      <c r="L19" s="299">
        <f t="shared" si="3"/>
        <v>-0.38200000000000001</v>
      </c>
      <c r="M19" s="427">
        <f t="shared" si="4"/>
        <v>0.77600000000000002</v>
      </c>
      <c r="N19" s="437" t="s">
        <v>96</v>
      </c>
      <c r="O19" s="270">
        <v>-71.824943865390665</v>
      </c>
      <c r="P19" s="245" t="e">
        <f ca="1"/>
        <v>#NAME?</v>
      </c>
      <c r="Q19" s="245" t="e">
        <f t="shared" ca="1" si="5"/>
        <v>#NAME?</v>
      </c>
      <c r="R19" s="318" t="e">
        <f t="shared" ca="1" si="6"/>
        <v>#NAME?</v>
      </c>
      <c r="S19" s="317" t="e">
        <f t="shared" ca="1" si="7"/>
        <v>#NAME?</v>
      </c>
      <c r="T19" s="307" t="e">
        <f ca="1">[5]!VIF(E$3:I$30,4)</f>
        <v>#NAME?</v>
      </c>
      <c r="U19" s="431">
        <v>7.2674823800656871E-4</v>
      </c>
      <c r="V19" s="418">
        <v>1.1644233811403192E-5</v>
      </c>
      <c r="W19" s="430">
        <v>3.571431188804735E-2</v>
      </c>
      <c r="X19" s="418">
        <v>-7.2063115052881262E-4</v>
      </c>
      <c r="Y19" s="417">
        <v>-3.9906638749817059E-6</v>
      </c>
      <c r="Z19" s="416">
        <v>6.0000000000002274E-3</v>
      </c>
      <c r="AA19" s="415">
        <v>-3.7598082390167127E-4</v>
      </c>
      <c r="AB19" s="416">
        <v>1391.8000000000002</v>
      </c>
      <c r="AC19" s="415">
        <v>49.720242258562237</v>
      </c>
      <c r="AD19" s="411">
        <v>17</v>
      </c>
      <c r="AE19" s="385">
        <v>7.2195556754719448E-3</v>
      </c>
      <c r="AF19" s="384">
        <v>-0.11489362974850292</v>
      </c>
      <c r="AG19" s="384">
        <v>-1.8004399744316002E-2</v>
      </c>
      <c r="AH19" s="384">
        <v>-6.8198281301043995E-3</v>
      </c>
      <c r="AI19" s="383">
        <v>-0.16033742808307472</v>
      </c>
      <c r="AJ19" s="426">
        <v>52.41897299981818</v>
      </c>
      <c r="AK19" s="365">
        <v>51.666084687171377</v>
      </c>
      <c r="AL19" s="365">
        <v>52.458986342028645</v>
      </c>
      <c r="AM19" s="365">
        <v>52.460429284430958</v>
      </c>
      <c r="AN19" s="425">
        <v>53.349105807799489</v>
      </c>
    </row>
    <row r="20" spans="1:48" ht="15" customHeight="1" x14ac:dyDescent="0.2">
      <c r="A20" s="305">
        <v>18</v>
      </c>
      <c r="B20" s="307">
        <v>28.7</v>
      </c>
      <c r="C20" s="307">
        <v>27.402266942907271</v>
      </c>
      <c r="D20" s="305">
        <v>1</v>
      </c>
      <c r="E20" s="299">
        <v>0.79</v>
      </c>
      <c r="F20" s="299">
        <v>-0.107</v>
      </c>
      <c r="G20" s="299">
        <v>0.874</v>
      </c>
      <c r="H20" s="299">
        <v>0.748</v>
      </c>
      <c r="I20" s="304">
        <f t="shared" si="0"/>
        <v>-0.73805266123726332</v>
      </c>
      <c r="J20" s="305">
        <f t="shared" si="1"/>
        <v>1</v>
      </c>
      <c r="K20" s="299">
        <f t="shared" si="2"/>
        <v>0.79</v>
      </c>
      <c r="L20" s="299">
        <f t="shared" si="3"/>
        <v>-0.107</v>
      </c>
      <c r="M20" s="427">
        <f t="shared" si="4"/>
        <v>0.874</v>
      </c>
      <c r="N20" s="436" t="s">
        <v>112</v>
      </c>
      <c r="O20" s="287">
        <v>-8.5975577409723272</v>
      </c>
      <c r="P20" s="394" t="e">
        <f ca="1"/>
        <v>#NAME?</v>
      </c>
      <c r="Q20" s="394" t="e">
        <f t="shared" ca="1" si="5"/>
        <v>#NAME?</v>
      </c>
      <c r="R20" s="435" t="e">
        <f t="shared" ca="1" si="6"/>
        <v>#NAME?</v>
      </c>
      <c r="S20" s="284" t="e">
        <f t="shared" ca="1" si="7"/>
        <v>#NAME?</v>
      </c>
      <c r="T20" s="303" t="e">
        <f ca="1">[5]!VIF(E$3:I$30,5)</f>
        <v>#NAME?</v>
      </c>
      <c r="U20" s="429">
        <v>-20.121015783794864</v>
      </c>
      <c r="V20" s="355">
        <v>-0.25435712233253721</v>
      </c>
      <c r="W20" s="412">
        <v>-7.2063115052881294E-4</v>
      </c>
      <c r="X20" s="355">
        <v>20.064359352768498</v>
      </c>
      <c r="Y20" s="352">
        <v>3.8909789759286953E-2</v>
      </c>
      <c r="Z20" s="346">
        <v>-10.191030000000003</v>
      </c>
      <c r="AA20" s="339">
        <v>15.993324980986285</v>
      </c>
      <c r="AB20" s="346">
        <v>96.435200000000037</v>
      </c>
      <c r="AC20" s="339">
        <v>-371.73205996095589</v>
      </c>
      <c r="AD20" s="411">
        <v>18</v>
      </c>
      <c r="AE20" s="385">
        <v>-5.1410981719212101E-3</v>
      </c>
      <c r="AF20" s="384">
        <v>0.28034000097978162</v>
      </c>
      <c r="AG20" s="384">
        <v>0.21437852669853696</v>
      </c>
      <c r="AH20" s="384">
        <v>5.2930723058056683E-3</v>
      </c>
      <c r="AI20" s="383">
        <v>-0.17697468438422836</v>
      </c>
      <c r="AJ20" s="426">
        <v>50.685583039779857</v>
      </c>
      <c r="AK20" s="365">
        <v>51.747881118838734</v>
      </c>
      <c r="AL20" s="365">
        <v>45.189602529878314</v>
      </c>
      <c r="AM20" s="365">
        <v>50.624701292994502</v>
      </c>
      <c r="AN20" s="425">
        <v>52.526425981919772</v>
      </c>
    </row>
    <row r="21" spans="1:48" ht="15" customHeight="1" x14ac:dyDescent="0.2">
      <c r="A21" s="305">
        <v>19</v>
      </c>
      <c r="B21" s="307">
        <v>36</v>
      </c>
      <c r="C21" s="307">
        <v>46.269536649138885</v>
      </c>
      <c r="D21" s="305">
        <v>1</v>
      </c>
      <c r="E21" s="299">
        <v>0.79</v>
      </c>
      <c r="F21" s="299">
        <v>0.6</v>
      </c>
      <c r="G21" s="299">
        <v>0.16200000000000001</v>
      </c>
      <c r="H21" s="299">
        <v>0.748</v>
      </c>
      <c r="I21" s="304">
        <f t="shared" si="0"/>
        <v>-0.46816289915733694</v>
      </c>
      <c r="J21" s="305">
        <f t="shared" si="1"/>
        <v>1</v>
      </c>
      <c r="K21" s="299">
        <f t="shared" si="2"/>
        <v>0.79</v>
      </c>
      <c r="L21" s="299">
        <f t="shared" si="3"/>
        <v>0.6</v>
      </c>
      <c r="M21" s="427">
        <f t="shared" si="4"/>
        <v>0.16200000000000001</v>
      </c>
      <c r="U21" s="428">
        <v>-7.5324189129192753E-2</v>
      </c>
      <c r="V21" s="353">
        <v>-5.1914836631490949E-2</v>
      </c>
      <c r="W21" s="410">
        <v>-3.990663874981672E-6</v>
      </c>
      <c r="X21" s="353">
        <v>3.8909789759286016E-2</v>
      </c>
      <c r="Y21" s="354">
        <v>7.6143703290970352E-2</v>
      </c>
      <c r="Z21" s="286">
        <v>-17.183702000000004</v>
      </c>
      <c r="AA21" s="393">
        <v>-0.5546887640105822</v>
      </c>
      <c r="AB21" s="286">
        <v>341.87469999999996</v>
      </c>
      <c r="AC21" s="393">
        <v>17.696966409573122</v>
      </c>
      <c r="AD21" s="411">
        <v>19</v>
      </c>
      <c r="AE21" s="385">
        <v>9.3845845239480807E-3</v>
      </c>
      <c r="AF21" s="384">
        <v>0.11838289095541155</v>
      </c>
      <c r="AG21" s="384">
        <v>-5.8396018642939834E-2</v>
      </c>
      <c r="AH21" s="384">
        <v>-9.1475924820771937E-3</v>
      </c>
      <c r="AI21" s="383">
        <v>-0.60649833641986151</v>
      </c>
      <c r="AJ21" s="426">
        <v>40.020444906664082</v>
      </c>
      <c r="AK21" s="365">
        <v>39.751364871799119</v>
      </c>
      <c r="AL21" s="365">
        <v>41.021667905768339</v>
      </c>
      <c r="AM21" s="365">
        <v>40.094631524531394</v>
      </c>
      <c r="AN21" s="425">
        <v>44.652010675177856</v>
      </c>
    </row>
    <row r="22" spans="1:48" ht="15" customHeight="1" x14ac:dyDescent="0.2">
      <c r="A22" s="283">
        <v>20</v>
      </c>
      <c r="B22" s="303">
        <v>81.5</v>
      </c>
      <c r="C22" s="303">
        <v>72.846546840241786</v>
      </c>
      <c r="D22" s="283">
        <v>1</v>
      </c>
      <c r="E22" s="282">
        <v>0.79</v>
      </c>
      <c r="F22" s="282">
        <v>0.99299999999999999</v>
      </c>
      <c r="G22" s="282">
        <v>-0.93300000000000005</v>
      </c>
      <c r="H22" s="282">
        <v>0.748</v>
      </c>
      <c r="I22" s="281">
        <f t="shared" si="0"/>
        <v>1.6598916646880624E-2</v>
      </c>
      <c r="J22" s="283">
        <f t="shared" si="1"/>
        <v>1</v>
      </c>
      <c r="K22" s="282">
        <f t="shared" si="2"/>
        <v>0.79</v>
      </c>
      <c r="L22" s="282">
        <f t="shared" si="3"/>
        <v>0.99299999999999999</v>
      </c>
      <c r="M22" s="414">
        <f t="shared" si="4"/>
        <v>-0.93300000000000005</v>
      </c>
      <c r="U22" s="1537" t="s">
        <v>155</v>
      </c>
      <c r="V22" s="1538"/>
      <c r="W22" s="1538"/>
      <c r="X22" s="1538"/>
      <c r="Y22" s="1539"/>
      <c r="Z22" s="1537" t="s">
        <v>149</v>
      </c>
      <c r="AA22" s="1540"/>
      <c r="AB22" s="1540"/>
      <c r="AC22" s="1541"/>
      <c r="AD22" s="411">
        <v>20</v>
      </c>
      <c r="AE22" s="382">
        <v>5.1661352458140519E-2</v>
      </c>
      <c r="AF22" s="381">
        <v>-0.82566030763856657</v>
      </c>
      <c r="AG22" s="381">
        <v>-0.85087573863370436</v>
      </c>
      <c r="AH22" s="381">
        <v>-5.0856435117962784E-2</v>
      </c>
      <c r="AI22" s="380">
        <v>-1.181009116361436</v>
      </c>
      <c r="AJ22" s="423">
        <v>61.569074278345632</v>
      </c>
      <c r="AK22" s="422">
        <v>56.172289304814548</v>
      </c>
      <c r="AL22" s="422">
        <v>81.44161589548429</v>
      </c>
      <c r="AM22" s="422">
        <v>62.013356614441214</v>
      </c>
      <c r="AN22" s="421">
        <v>68.514390087433824</v>
      </c>
    </row>
    <row r="23" spans="1:48" ht="15" customHeight="1" x14ac:dyDescent="0.2">
      <c r="A23" s="291">
        <v>21</v>
      </c>
      <c r="B23" s="309">
        <v>48.5</v>
      </c>
      <c r="C23" s="309">
        <v>55.845522088480649</v>
      </c>
      <c r="D23" s="291">
        <v>1</v>
      </c>
      <c r="E23" s="290">
        <v>0.79</v>
      </c>
      <c r="F23" s="290">
        <v>2.0539999999999998</v>
      </c>
      <c r="G23" s="290">
        <v>-0.996</v>
      </c>
      <c r="H23" s="290">
        <v>0.748</v>
      </c>
      <c r="I23" s="289">
        <f t="shared" si="0"/>
        <v>2.5198701896199758</v>
      </c>
      <c r="J23" s="291">
        <f t="shared" si="1"/>
        <v>1</v>
      </c>
      <c r="K23" s="290">
        <f t="shared" si="2"/>
        <v>0.79</v>
      </c>
      <c r="L23" s="290">
        <f t="shared" si="3"/>
        <v>2.0539999999999998</v>
      </c>
      <c r="M23" s="420">
        <f t="shared" si="4"/>
        <v>-0.996</v>
      </c>
      <c r="U23" s="424">
        <v>22</v>
      </c>
      <c r="V23" s="334">
        <v>0</v>
      </c>
      <c r="W23" s="361">
        <v>1</v>
      </c>
      <c r="X23" s="361">
        <v>2</v>
      </c>
      <c r="Y23" s="360">
        <v>3</v>
      </c>
      <c r="Z23" s="424" t="s">
        <v>154</v>
      </c>
      <c r="AA23" s="360" t="s">
        <v>153</v>
      </c>
      <c r="AB23" s="424" t="s">
        <v>152</v>
      </c>
      <c r="AC23" s="360" t="s">
        <v>151</v>
      </c>
      <c r="AD23" s="411">
        <v>21</v>
      </c>
      <c r="AE23" s="388">
        <v>-4.4546983375776117E-3</v>
      </c>
      <c r="AF23" s="387">
        <v>0.13513120342452778</v>
      </c>
      <c r="AG23" s="387">
        <v>0.11114278871278915</v>
      </c>
      <c r="AH23" s="387">
        <v>4.7799926594389586E-3</v>
      </c>
      <c r="AI23" s="386">
        <v>1.2368349060862656</v>
      </c>
      <c r="AJ23" s="434">
        <v>42.084957419806592</v>
      </c>
      <c r="AK23" s="433">
        <v>42.719768685825393</v>
      </c>
      <c r="AL23" s="433">
        <v>39.346739982706517</v>
      </c>
      <c r="AM23" s="433">
        <v>42.01829806421987</v>
      </c>
      <c r="AN23" s="432">
        <v>31.727861247535962</v>
      </c>
    </row>
    <row r="24" spans="1:48" ht="15" customHeight="1" x14ac:dyDescent="0.2">
      <c r="A24" s="305">
        <v>22</v>
      </c>
      <c r="B24" s="307">
        <v>50.4</v>
      </c>
      <c r="C24" s="307">
        <v>51.42413264554186</v>
      </c>
      <c r="D24" s="305">
        <v>1</v>
      </c>
      <c r="E24" s="299">
        <v>0.79</v>
      </c>
      <c r="F24" s="299">
        <v>2.2109999999999999</v>
      </c>
      <c r="G24" s="299">
        <v>-0.98199999999999998</v>
      </c>
      <c r="H24" s="299">
        <v>0.748</v>
      </c>
      <c r="I24" s="304">
        <f t="shared" si="0"/>
        <v>3.0383582563233538</v>
      </c>
      <c r="J24" s="305">
        <f t="shared" si="1"/>
        <v>1</v>
      </c>
      <c r="K24" s="299">
        <f t="shared" si="2"/>
        <v>0.79</v>
      </c>
      <c r="L24" s="299">
        <f t="shared" si="3"/>
        <v>2.2109999999999999</v>
      </c>
      <c r="M24" s="427">
        <f t="shared" si="4"/>
        <v>-0.98199999999999998</v>
      </c>
      <c r="U24" s="429">
        <f t="array" ref="U24:Y28">MINVERSE(MMULT(TRANSPOSE(X_not_4),X_not_4))</f>
        <v>7.3902055729940214E-2</v>
      </c>
      <c r="V24" s="412">
        <v>2.0368030143481677E-6</v>
      </c>
      <c r="W24" s="355">
        <v>3.3518587271625981E-2</v>
      </c>
      <c r="X24" s="355">
        <v>-5.3245405228641102E-2</v>
      </c>
      <c r="Y24" s="352">
        <v>-3.9186495216079311E-3</v>
      </c>
      <c r="Z24" s="346">
        <f t="array" ref="Z24:Z28">MMULT(TRANSPOSE(X_not_4),x_4)</f>
        <v>-7.1736170098775371</v>
      </c>
      <c r="AA24" s="339">
        <f t="array" ref="AA24:AA28">MMULT(U24:Y28,Z24:Z28)</f>
        <v>-1.1192450557087466E-2</v>
      </c>
      <c r="AB24" s="346">
        <f t="array" ref="AB24:AB28">MMULT(TRANSPOSE(X_not_4),y)</f>
        <v>66.720747040887318</v>
      </c>
      <c r="AC24" s="339">
        <f t="array" ref="AC24:AC28">MMULT(U24:Y28,AB24:AB28)</f>
        <v>-7.7936606079934432</v>
      </c>
      <c r="AD24" s="411">
        <v>22</v>
      </c>
      <c r="AE24" s="385">
        <v>-1.5672699817096181E-2</v>
      </c>
      <c r="AF24" s="384">
        <v>0.3042907756459825</v>
      </c>
      <c r="AG24" s="384">
        <v>0.30263734437758094</v>
      </c>
      <c r="AH24" s="384">
        <v>1.5918392071572751E-2</v>
      </c>
      <c r="AI24" s="383">
        <v>1.7650460192677371</v>
      </c>
      <c r="AJ24" s="426">
        <v>47.709642030771278</v>
      </c>
      <c r="AK24" s="365">
        <v>49.489493871539992</v>
      </c>
      <c r="AL24" s="365">
        <v>40.473611066199368</v>
      </c>
      <c r="AM24" s="365">
        <v>47.539672594631881</v>
      </c>
      <c r="AN24" s="425">
        <v>33.507925145473735</v>
      </c>
    </row>
    <row r="25" spans="1:48" ht="15" customHeight="1" x14ac:dyDescent="0.2">
      <c r="A25" s="305">
        <v>23</v>
      </c>
      <c r="B25" s="307">
        <v>89.2</v>
      </c>
      <c r="C25" s="307">
        <v>76.319773653595377</v>
      </c>
      <c r="D25" s="305">
        <v>1</v>
      </c>
      <c r="E25" s="299">
        <v>0.79</v>
      </c>
      <c r="F25" s="299">
        <v>0.89500000000000002</v>
      </c>
      <c r="G25" s="299">
        <v>-1.335</v>
      </c>
      <c r="H25" s="299">
        <v>0.86499999999999999</v>
      </c>
      <c r="I25" s="304">
        <f t="shared" si="0"/>
        <v>-0.12666873525793759</v>
      </c>
      <c r="J25" s="305">
        <f t="shared" si="1"/>
        <v>1</v>
      </c>
      <c r="K25" s="299">
        <f t="shared" si="2"/>
        <v>0.79</v>
      </c>
      <c r="L25" s="299">
        <f t="shared" si="3"/>
        <v>0.89500000000000002</v>
      </c>
      <c r="M25" s="427">
        <f t="shared" si="4"/>
        <v>-1.335</v>
      </c>
      <c r="U25" s="431">
        <v>2.0368030143481677E-6</v>
      </c>
      <c r="V25" s="430">
        <v>3.571428866900745E-2</v>
      </c>
      <c r="W25" s="418">
        <v>-4.0777091666444122E-7</v>
      </c>
      <c r="X25" s="418">
        <v>-9.810226612886326E-6</v>
      </c>
      <c r="Y25" s="417">
        <v>-1.3856663254755252E-5</v>
      </c>
      <c r="Z25" s="416">
        <v>-2.0000000000048868E-3</v>
      </c>
      <c r="AA25" s="415">
        <v>-2.4780521340693343E-5</v>
      </c>
      <c r="AB25" s="416">
        <v>1391.8000000000002</v>
      </c>
      <c r="AC25" s="415">
        <v>49.711823189558018</v>
      </c>
      <c r="AD25" s="411">
        <v>23</v>
      </c>
      <c r="AE25" s="385">
        <v>-4.0750869513862531E-2</v>
      </c>
      <c r="AF25" s="384">
        <v>0.86595757076683499</v>
      </c>
      <c r="AG25" s="384">
        <v>0.57024937815485943</v>
      </c>
      <c r="AH25" s="384">
        <v>4.0159076108240432E-2</v>
      </c>
      <c r="AI25" s="383">
        <v>0.4801351987060985</v>
      </c>
      <c r="AJ25" s="426">
        <v>60.056497038009972</v>
      </c>
      <c r="AK25" s="365">
        <v>64.88247864136062</v>
      </c>
      <c r="AL25" s="365">
        <v>47.118674263343927</v>
      </c>
      <c r="AM25" s="365">
        <v>59.702945816385601</v>
      </c>
      <c r="AN25" s="425">
        <v>58.459379109198572</v>
      </c>
    </row>
    <row r="26" spans="1:48" ht="15" customHeight="1" x14ac:dyDescent="0.2">
      <c r="A26" s="305">
        <v>24</v>
      </c>
      <c r="B26" s="307">
        <v>82.7</v>
      </c>
      <c r="C26" s="307">
        <v>78.45722116820059</v>
      </c>
      <c r="D26" s="305">
        <v>1</v>
      </c>
      <c r="E26" s="299">
        <v>0.79</v>
      </c>
      <c r="F26" s="299">
        <v>-0.20499999999999999</v>
      </c>
      <c r="G26" s="299">
        <v>-1.335</v>
      </c>
      <c r="H26" s="299">
        <v>0.86499999999999999</v>
      </c>
      <c r="I26" s="304">
        <f t="shared" si="0"/>
        <v>-0.71437707469367051</v>
      </c>
      <c r="J26" s="305">
        <f t="shared" si="1"/>
        <v>1</v>
      </c>
      <c r="K26" s="299">
        <f t="shared" si="2"/>
        <v>0.79</v>
      </c>
      <c r="L26" s="299">
        <f t="shared" si="3"/>
        <v>-0.20499999999999999</v>
      </c>
      <c r="M26" s="427">
        <f t="shared" si="4"/>
        <v>-1.335</v>
      </c>
      <c r="U26" s="429">
        <v>3.3518587271625981E-2</v>
      </c>
      <c r="V26" s="412">
        <v>-4.0777091666444059E-7</v>
      </c>
      <c r="W26" s="355">
        <v>5.8720512609140921E-2</v>
      </c>
      <c r="X26" s="355">
        <v>-2.8798459258020812E-2</v>
      </c>
      <c r="Y26" s="352">
        <v>1.1689683046034823E-2</v>
      </c>
      <c r="Z26" s="346">
        <v>26.986040000000013</v>
      </c>
      <c r="AA26" s="339">
        <v>0.98497422561742809</v>
      </c>
      <c r="AB26" s="346">
        <v>96.435200000000037</v>
      </c>
      <c r="AC26" s="339">
        <v>-8.639751260478155</v>
      </c>
      <c r="AD26" s="411">
        <v>24</v>
      </c>
      <c r="AE26" s="385">
        <v>-1.3885115197931341E-3</v>
      </c>
      <c r="AF26" s="384">
        <v>-0.22851461472126458</v>
      </c>
      <c r="AG26" s="384">
        <v>-0.14238657493931117</v>
      </c>
      <c r="AH26" s="384">
        <v>1.4510347151286407E-3</v>
      </c>
      <c r="AI26" s="383">
        <v>-8.16376977246146E-2</v>
      </c>
      <c r="AJ26" s="426">
        <v>53.863686838030866</v>
      </c>
      <c r="AK26" s="365">
        <v>53.344273021349004</v>
      </c>
      <c r="AL26" s="365">
        <v>57.812327463835835</v>
      </c>
      <c r="AM26" s="365">
        <v>53.845701201979743</v>
      </c>
      <c r="AN26" s="425">
        <v>54.651806508969834</v>
      </c>
    </row>
    <row r="27" spans="1:48" ht="15" customHeight="1" x14ac:dyDescent="0.2">
      <c r="A27" s="305">
        <v>25</v>
      </c>
      <c r="B27" s="307">
        <v>78.599999999999994</v>
      </c>
      <c r="C27" s="307">
        <v>78.562155189510847</v>
      </c>
      <c r="D27" s="305">
        <v>1</v>
      </c>
      <c r="E27" s="299">
        <v>0.79</v>
      </c>
      <c r="F27" s="299">
        <v>-0.185</v>
      </c>
      <c r="G27" s="299">
        <v>-1.335</v>
      </c>
      <c r="H27" s="299">
        <v>0.86499999999999999</v>
      </c>
      <c r="I27" s="304">
        <f t="shared" si="0"/>
        <v>-0.72041676513846464</v>
      </c>
      <c r="J27" s="305">
        <f t="shared" si="1"/>
        <v>1</v>
      </c>
      <c r="K27" s="299">
        <f t="shared" si="2"/>
        <v>0.79</v>
      </c>
      <c r="L27" s="299">
        <f t="shared" si="3"/>
        <v>-0.185</v>
      </c>
      <c r="M27" s="427">
        <f t="shared" si="4"/>
        <v>-1.335</v>
      </c>
      <c r="U27" s="429">
        <v>-5.3245405228641088E-2</v>
      </c>
      <c r="V27" s="412">
        <v>-9.8102266128863243E-6</v>
      </c>
      <c r="W27" s="355">
        <v>-2.8798459258020808E-2</v>
      </c>
      <c r="X27" s="355">
        <v>0.1010757388846043</v>
      </c>
      <c r="Y27" s="352">
        <v>4.0981314317059099E-2</v>
      </c>
      <c r="Z27" s="346">
        <v>8.0445540000000015</v>
      </c>
      <c r="AA27" s="339">
        <v>-2.9209222601808527E-2</v>
      </c>
      <c r="AB27" s="346">
        <v>341.87469999999996</v>
      </c>
      <c r="AC27" s="339">
        <v>4.7483224724033306</v>
      </c>
      <c r="AD27" s="411">
        <v>25</v>
      </c>
      <c r="AE27" s="385">
        <v>-1.9179113079527133E-3</v>
      </c>
      <c r="AF27" s="384">
        <v>-0.20845780714130008</v>
      </c>
      <c r="AG27" s="384">
        <v>-0.13234593646927406</v>
      </c>
      <c r="AH27" s="384">
        <v>1.9676202304814705E-3</v>
      </c>
      <c r="AI27" s="383">
        <v>-8.814894167859133E-2</v>
      </c>
      <c r="AJ27" s="426">
        <v>49.62587393083971</v>
      </c>
      <c r="AK27" s="365">
        <v>49.192496995214505</v>
      </c>
      <c r="AL27" s="365">
        <v>53.335029141138016</v>
      </c>
      <c r="AM27" s="365">
        <v>49.603663455027608</v>
      </c>
      <c r="AN27" s="425">
        <v>50.50285328351945</v>
      </c>
    </row>
    <row r="28" spans="1:48" ht="15" customHeight="1" x14ac:dyDescent="0.2">
      <c r="A28" s="305">
        <v>26</v>
      </c>
      <c r="B28" s="307">
        <v>75.400000000000006</v>
      </c>
      <c r="C28" s="307">
        <v>78.99934739957699</v>
      </c>
      <c r="D28" s="305">
        <v>1</v>
      </c>
      <c r="E28" s="299">
        <v>0.79</v>
      </c>
      <c r="F28" s="299">
        <v>-8.6999999999999994E-2</v>
      </c>
      <c r="G28" s="299">
        <v>-1.335</v>
      </c>
      <c r="H28" s="299">
        <v>0.86499999999999999</v>
      </c>
      <c r="I28" s="304">
        <f t="shared" si="0"/>
        <v>-0.7410570200739045</v>
      </c>
      <c r="J28" s="305">
        <f t="shared" si="1"/>
        <v>1</v>
      </c>
      <c r="K28" s="299">
        <f t="shared" si="2"/>
        <v>0.79</v>
      </c>
      <c r="L28" s="299">
        <f t="shared" si="3"/>
        <v>-8.6999999999999994E-2</v>
      </c>
      <c r="M28" s="427">
        <f t="shared" si="4"/>
        <v>-1.335</v>
      </c>
      <c r="U28" s="428">
        <v>-3.9186495216079319E-3</v>
      </c>
      <c r="V28" s="410">
        <v>-1.3856663254755252E-5</v>
      </c>
      <c r="W28" s="353">
        <v>1.1689683046034821E-2</v>
      </c>
      <c r="X28" s="353">
        <v>4.0981314317059099E-2</v>
      </c>
      <c r="Y28" s="354">
        <v>6.6612709029863118E-2</v>
      </c>
      <c r="Z28" s="286">
        <v>-10.910442</v>
      </c>
      <c r="AA28" s="393">
        <v>-5.3528529473743314E-2</v>
      </c>
      <c r="AB28" s="286">
        <v>-572.54149999999993</v>
      </c>
      <c r="AC28" s="393">
        <v>-23.281509814181174</v>
      </c>
      <c r="AD28" s="411">
        <v>26</v>
      </c>
      <c r="AE28" s="385">
        <v>-4.6116987670540288E-3</v>
      </c>
      <c r="AF28" s="384">
        <v>-0.11026367087828451</v>
      </c>
      <c r="AG28" s="384">
        <v>-8.1585465136245761E-2</v>
      </c>
      <c r="AH28" s="384">
        <v>4.5991090126080714E-3</v>
      </c>
      <c r="AI28" s="383">
        <v>-0.11109980880902415</v>
      </c>
      <c r="AJ28" s="426">
        <v>45.821381445185828</v>
      </c>
      <c r="AK28" s="365">
        <v>45.815555744875873</v>
      </c>
      <c r="AL28" s="365">
        <v>48.320898566645944</v>
      </c>
      <c r="AM28" s="365">
        <v>45.777464710902827</v>
      </c>
      <c r="AN28" s="425">
        <v>47.062982478812565</v>
      </c>
    </row>
    <row r="29" spans="1:48" ht="15" customHeight="1" x14ac:dyDescent="0.2">
      <c r="A29" s="305">
        <v>27</v>
      </c>
      <c r="B29" s="307">
        <v>70.900000000000006</v>
      </c>
      <c r="C29" s="307">
        <v>78.99934739957699</v>
      </c>
      <c r="D29" s="305">
        <v>1</v>
      </c>
      <c r="E29" s="299">
        <v>0.79</v>
      </c>
      <c r="F29" s="299">
        <v>-8.6999999999999994E-2</v>
      </c>
      <c r="G29" s="299">
        <v>-1.335</v>
      </c>
      <c r="H29" s="299">
        <v>0.86499999999999999</v>
      </c>
      <c r="I29" s="304">
        <f t="shared" si="0"/>
        <v>-0.7410570200739045</v>
      </c>
      <c r="J29" s="305">
        <f t="shared" si="1"/>
        <v>1</v>
      </c>
      <c r="K29" s="299">
        <f t="shared" si="2"/>
        <v>0.79</v>
      </c>
      <c r="L29" s="299">
        <f t="shared" si="3"/>
        <v>-8.6999999999999994E-2</v>
      </c>
      <c r="M29" s="427">
        <f t="shared" si="4"/>
        <v>-1.335</v>
      </c>
      <c r="U29" s="1537" t="s">
        <v>150</v>
      </c>
      <c r="V29" s="1538"/>
      <c r="W29" s="1538"/>
      <c r="X29" s="1538"/>
      <c r="Y29" s="1539"/>
      <c r="Z29" s="1537" t="s">
        <v>149</v>
      </c>
      <c r="AA29" s="1540"/>
      <c r="AB29" s="1540"/>
      <c r="AC29" s="1541"/>
      <c r="AD29" s="411">
        <v>27</v>
      </c>
      <c r="AE29" s="385">
        <v>-4.6116987670540288E-3</v>
      </c>
      <c r="AF29" s="384">
        <v>-0.11026367087828451</v>
      </c>
      <c r="AG29" s="384">
        <v>-8.1585465136245761E-2</v>
      </c>
      <c r="AH29" s="384">
        <v>4.5991090126080714E-3</v>
      </c>
      <c r="AI29" s="383">
        <v>-0.11109980880902415</v>
      </c>
      <c r="AJ29" s="426">
        <v>41.321381445185828</v>
      </c>
      <c r="AK29" s="365">
        <v>41.315555744875873</v>
      </c>
      <c r="AL29" s="365">
        <v>43.820898566645944</v>
      </c>
      <c r="AM29" s="365">
        <v>41.277464710902827</v>
      </c>
      <c r="AN29" s="425">
        <v>42.562982478812565</v>
      </c>
    </row>
    <row r="30" spans="1:48" ht="15" customHeight="1" x14ac:dyDescent="0.2">
      <c r="A30" s="283">
        <v>28</v>
      </c>
      <c r="B30" s="303">
        <v>73.099999999999994</v>
      </c>
      <c r="C30" s="303">
        <v>78.562155189510847</v>
      </c>
      <c r="D30" s="283">
        <v>1</v>
      </c>
      <c r="E30" s="299">
        <v>0.79</v>
      </c>
      <c r="F30" s="299">
        <v>-0.185</v>
      </c>
      <c r="G30" s="299">
        <v>-1.335</v>
      </c>
      <c r="H30" s="299">
        <v>0.86499999999999999</v>
      </c>
      <c r="I30" s="281">
        <f t="shared" si="0"/>
        <v>-0.72041676513846464</v>
      </c>
      <c r="J30" s="283">
        <f t="shared" si="1"/>
        <v>1</v>
      </c>
      <c r="K30" s="282">
        <f t="shared" si="2"/>
        <v>0.79</v>
      </c>
      <c r="L30" s="282">
        <f t="shared" si="3"/>
        <v>-0.185</v>
      </c>
      <c r="M30" s="414">
        <f t="shared" si="4"/>
        <v>-1.335</v>
      </c>
      <c r="U30" s="334">
        <v>0</v>
      </c>
      <c r="V30" s="361">
        <v>1</v>
      </c>
      <c r="W30" s="361">
        <v>2</v>
      </c>
      <c r="X30" s="361">
        <v>3</v>
      </c>
      <c r="Y30" s="360">
        <v>4</v>
      </c>
      <c r="Z30" s="424" t="s">
        <v>148</v>
      </c>
      <c r="AA30" s="360" t="s">
        <v>147</v>
      </c>
      <c r="AB30" s="424" t="s">
        <v>146</v>
      </c>
      <c r="AC30" s="360" t="s">
        <v>145</v>
      </c>
      <c r="AD30" s="411">
        <v>28</v>
      </c>
      <c r="AE30" s="382">
        <v>-1.9179113079527133E-3</v>
      </c>
      <c r="AF30" s="381">
        <v>-0.20845780714130008</v>
      </c>
      <c r="AG30" s="381">
        <v>-0.13234593646927406</v>
      </c>
      <c r="AH30" s="381">
        <v>1.9676202304814705E-3</v>
      </c>
      <c r="AI30" s="380">
        <v>-8.814894167859133E-2</v>
      </c>
      <c r="AJ30" s="423">
        <v>44.12587393083971</v>
      </c>
      <c r="AK30" s="422">
        <v>43.692496995214505</v>
      </c>
      <c r="AL30" s="422">
        <v>47.835029141138016</v>
      </c>
      <c r="AM30" s="422">
        <v>44.103663455027608</v>
      </c>
      <c r="AN30" s="421">
        <v>45.00285328351945</v>
      </c>
    </row>
    <row r="31" spans="1:48" ht="15" customHeight="1" x14ac:dyDescent="0.2">
      <c r="A31" s="296" t="s">
        <v>93</v>
      </c>
      <c r="B31" s="279">
        <f t="shared" ref="B31:M31" si="8">AVERAGE(B3:B30)</f>
        <v>49.707142857142863</v>
      </c>
      <c r="C31" s="279">
        <f t="shared" si="8"/>
        <v>49.707142857142863</v>
      </c>
      <c r="D31" s="291">
        <f t="shared" si="8"/>
        <v>1</v>
      </c>
      <c r="E31" s="290">
        <f t="shared" si="8"/>
        <v>-3.5714285714487968E-5</v>
      </c>
      <c r="F31" s="290">
        <f t="shared" si="8"/>
        <v>3.6677010634938206E-17</v>
      </c>
      <c r="G31" s="290">
        <f t="shared" si="8"/>
        <v>2.1428571428572241E-4</v>
      </c>
      <c r="H31" s="290">
        <f t="shared" si="8"/>
        <v>-7.142857142874595E-5</v>
      </c>
      <c r="I31" s="289">
        <f t="shared" si="8"/>
        <v>-1.1102230246251565E-16</v>
      </c>
      <c r="J31" s="291">
        <f t="shared" si="8"/>
        <v>1</v>
      </c>
      <c r="K31" s="290">
        <f t="shared" si="8"/>
        <v>-3.5714285714487968E-5</v>
      </c>
      <c r="L31" s="290">
        <f t="shared" si="8"/>
        <v>3.6677010634938206E-17</v>
      </c>
      <c r="M31" s="420">
        <f t="shared" si="8"/>
        <v>2.1428571428572241E-4</v>
      </c>
      <c r="U31" s="419">
        <f t="array" ref="U31:Y35">MINVERSE(MMULT(TRANSPOSE(X_not_5),X_not_5))</f>
        <v>3.5714362547975144E-2</v>
      </c>
      <c r="V31" s="418">
        <v>-2.992478635585479E-3</v>
      </c>
      <c r="W31" s="418">
        <v>1.0426736979604778E-4</v>
      </c>
      <c r="X31" s="418">
        <v>1.4976508597960679E-4</v>
      </c>
      <c r="Y31" s="417">
        <v>3.0212062276785434E-3</v>
      </c>
      <c r="Z31" s="416">
        <f t="array" ref="Z31:Z35">MMULT(TRANSPOSE(X_not_5),x_5)</f>
        <v>-3.1086244689504383E-15</v>
      </c>
      <c r="AA31" s="415">
        <f t="array" ref="AA31:AA35">MMULT(U31:Y35,Z31:Z35)</f>
        <v>-4.8512188174325635E-4</v>
      </c>
      <c r="AB31" s="416">
        <f t="array" ref="AB31:AB35">MMULT(TRANSPOSE(X_not_5),y)</f>
        <v>1391.8000000000002</v>
      </c>
      <c r="AC31" s="415">
        <f t="array" ref="AC31:AC35">MMULT(U31:Y35,AB31:AB35)</f>
        <v>49.714214193393481</v>
      </c>
      <c r="AD31" s="409" t="s">
        <v>93</v>
      </c>
      <c r="AE31" s="295">
        <f t="shared" ref="AE31:AN31" si="9">AVERAGE(AE3:AE30)</f>
        <v>7.1371480154474354E-17</v>
      </c>
      <c r="AF31" s="340">
        <f t="shared" si="9"/>
        <v>-8.2771091568036228E-16</v>
      </c>
      <c r="AG31" s="340">
        <f t="shared" si="9"/>
        <v>3.0531133177191805E-16</v>
      </c>
      <c r="AH31" s="340">
        <f t="shared" si="9"/>
        <v>-2.3790493384824782E-17</v>
      </c>
      <c r="AI31" s="344">
        <f t="shared" si="9"/>
        <v>3.2315420181053662E-16</v>
      </c>
      <c r="AJ31" s="295">
        <f t="shared" si="9"/>
        <v>49.707142857142856</v>
      </c>
      <c r="AK31" s="340">
        <f t="shared" si="9"/>
        <v>49.707142857142856</v>
      </c>
      <c r="AL31" s="340">
        <f t="shared" si="9"/>
        <v>49.707142857142848</v>
      </c>
      <c r="AM31" s="340">
        <f t="shared" si="9"/>
        <v>49.707142857142863</v>
      </c>
      <c r="AN31" s="344">
        <f t="shared" si="9"/>
        <v>49.707142857142848</v>
      </c>
      <c r="AR31" s="144"/>
      <c r="AS31" s="144"/>
      <c r="AT31" s="144"/>
      <c r="AU31" s="144"/>
      <c r="AV31" s="144"/>
    </row>
    <row r="32" spans="1:48" ht="15" customHeight="1" x14ac:dyDescent="0.2">
      <c r="A32" s="288" t="s">
        <v>88</v>
      </c>
      <c r="B32" s="287">
        <f t="shared" ref="B32:M32" si="10">STDEV(B3:B30)</f>
        <v>23.026328386041023</v>
      </c>
      <c r="C32" s="287">
        <f t="shared" si="10"/>
        <v>22.475783845891474</v>
      </c>
      <c r="D32" s="283">
        <f t="shared" si="10"/>
        <v>0</v>
      </c>
      <c r="E32" s="282">
        <f t="shared" si="10"/>
        <v>1.0001657448622034</v>
      </c>
      <c r="F32" s="282">
        <f t="shared" si="10"/>
        <v>1.0001692819681041</v>
      </c>
      <c r="G32" s="282">
        <f t="shared" si="10"/>
        <v>1.0000014206339116</v>
      </c>
      <c r="H32" s="282">
        <f t="shared" si="10"/>
        <v>1.0003016925860302</v>
      </c>
      <c r="I32" s="281">
        <f t="shared" si="10"/>
        <v>0.99999999999999989</v>
      </c>
      <c r="J32" s="283">
        <f t="shared" si="10"/>
        <v>0</v>
      </c>
      <c r="K32" s="282">
        <f t="shared" si="10"/>
        <v>1.0001657448622034</v>
      </c>
      <c r="L32" s="282">
        <f t="shared" si="10"/>
        <v>1.0001692819681041</v>
      </c>
      <c r="M32" s="414">
        <f t="shared" si="10"/>
        <v>1.0000014206339116</v>
      </c>
      <c r="U32" s="412">
        <v>-2.9924786355854786E-3</v>
      </c>
      <c r="V32" s="355">
        <v>121.05451701002409</v>
      </c>
      <c r="W32" s="355">
        <v>-4.5604467379753482</v>
      </c>
      <c r="X32" s="355">
        <v>-6.6017082338294442</v>
      </c>
      <c r="Y32" s="352">
        <v>-122.22708410474431</v>
      </c>
      <c r="Z32" s="346">
        <v>-6.8803481180767898</v>
      </c>
      <c r="AA32" s="339">
        <v>18.057711590382951</v>
      </c>
      <c r="AB32" s="346">
        <v>96.435200000000037</v>
      </c>
      <c r="AC32" s="339">
        <v>-93.146250864800095</v>
      </c>
      <c r="AD32" s="369" t="s">
        <v>144</v>
      </c>
      <c r="AE32" s="286">
        <f t="shared" ref="AE32:AN32" si="11">STDEV(AE3:AE30)</f>
        <v>1.5633944760829032E-2</v>
      </c>
      <c r="AF32" s="394">
        <f t="shared" si="11"/>
        <v>0.39760302857926383</v>
      </c>
      <c r="AG32" s="394">
        <f t="shared" si="11"/>
        <v>0.26844200889339342</v>
      </c>
      <c r="AH32" s="394">
        <f t="shared" si="11"/>
        <v>1.5402017194988037E-2</v>
      </c>
      <c r="AI32" s="393">
        <f t="shared" si="11"/>
        <v>0.62951252054387208</v>
      </c>
      <c r="AJ32" s="286">
        <f t="shared" si="11"/>
        <v>5.0984022226654817</v>
      </c>
      <c r="AK32" s="394">
        <f t="shared" si="11"/>
        <v>5.1148240510015164</v>
      </c>
      <c r="AL32" s="394">
        <f t="shared" si="11"/>
        <v>8.8360451728574496</v>
      </c>
      <c r="AM32" s="394">
        <f t="shared" si="11"/>
        <v>5.1258878596565296</v>
      </c>
      <c r="AN32" s="393">
        <f t="shared" si="11"/>
        <v>7.3718117616403847</v>
      </c>
      <c r="AR32" s="144"/>
      <c r="AS32" s="144"/>
      <c r="AT32" s="144"/>
      <c r="AU32" s="144"/>
      <c r="AV32" s="144"/>
    </row>
    <row r="33" spans="1:48" ht="15" customHeight="1" x14ac:dyDescent="0.2">
      <c r="A33" s="280" t="s">
        <v>143</v>
      </c>
      <c r="B33" s="295" t="e">
        <f t="array" aca="1" ref="B33:B34" ca="1">[5]!PolyCoeff(AE3:AE30,AJ3:AJ30,1)</f>
        <v>#NAME?</v>
      </c>
      <c r="C33" s="340" t="e">
        <f t="array" aca="1" ref="C33:C34" ca="1">[5]!PolyCoeff(AF3:AF30,AK3:AK30,1)</f>
        <v>#NAME?</v>
      </c>
      <c r="D33" s="340" t="e">
        <f t="array" aca="1" ref="D33:D34" ca="1">[5]!PolyCoeff(AG3:AG30,AL3:AL30,1)</f>
        <v>#NAME?</v>
      </c>
      <c r="E33" s="340" t="e">
        <f t="array" aca="1" ref="E33:E34" ca="1">[5]!PolyCoeff(AH3:AH30,AM3:AM30,1)</f>
        <v>#NAME?</v>
      </c>
      <c r="F33" s="344" t="e">
        <f t="array" aca="1" ref="F33:F34" ca="1">[5]!PolyCoeff(AI3:AI30,AN3:AN30,1)</f>
        <v>#NAME?</v>
      </c>
      <c r="H33" s="246" t="s">
        <v>93</v>
      </c>
      <c r="I33" s="279">
        <v>0.96461221428571442</v>
      </c>
      <c r="U33" s="412">
        <v>1.0426736979604805E-4</v>
      </c>
      <c r="V33" s="355">
        <v>-4.560446737975357</v>
      </c>
      <c r="W33" s="355">
        <v>0.23422893639866502</v>
      </c>
      <c r="X33" s="355">
        <v>0.28720477971366581</v>
      </c>
      <c r="Y33" s="352">
        <v>4.6015808852751716</v>
      </c>
      <c r="Z33" s="346">
        <v>14.828102057085067</v>
      </c>
      <c r="AA33" s="339">
        <v>2.3577675459108605E-2</v>
      </c>
      <c r="AB33" s="346">
        <v>341.87469999999996</v>
      </c>
      <c r="AC33" s="339">
        <v>2.4476612725193263</v>
      </c>
      <c r="AD33" s="411" t="s">
        <v>129</v>
      </c>
      <c r="AE33" s="295">
        <f t="shared" ref="AE33:AN33" si="12">MIN(AE3:AE30)</f>
        <v>-4.0750869513862531E-2</v>
      </c>
      <c r="AF33" s="340">
        <f t="shared" si="12"/>
        <v>-0.82566030763856657</v>
      </c>
      <c r="AG33" s="340">
        <f t="shared" si="12"/>
        <v>-0.85087573863370436</v>
      </c>
      <c r="AH33" s="340">
        <f t="shared" si="12"/>
        <v>-5.0856435117962784E-2</v>
      </c>
      <c r="AI33" s="344">
        <f t="shared" si="12"/>
        <v>-1.181009116361436</v>
      </c>
      <c r="AJ33" s="295">
        <f t="shared" si="12"/>
        <v>40.020444906664082</v>
      </c>
      <c r="AK33" s="340">
        <f t="shared" si="12"/>
        <v>39.751364871799119</v>
      </c>
      <c r="AL33" s="340">
        <f t="shared" si="12"/>
        <v>33.15621818236815</v>
      </c>
      <c r="AM33" s="340">
        <f t="shared" si="12"/>
        <v>40.094631524531394</v>
      </c>
      <c r="AN33" s="344">
        <f t="shared" si="12"/>
        <v>31.727861247535962</v>
      </c>
      <c r="AR33" s="144"/>
      <c r="AS33" s="144"/>
      <c r="AT33" s="144"/>
      <c r="AU33" s="144"/>
      <c r="AV33" s="144"/>
    </row>
    <row r="34" spans="1:48" ht="15" customHeight="1" x14ac:dyDescent="0.2">
      <c r="A34" s="413" t="s">
        <v>142</v>
      </c>
      <c r="B34" s="286" t="e">
        <f ca="1"/>
        <v>#NAME?</v>
      </c>
      <c r="C34" s="394" t="e">
        <f ca="1"/>
        <v>#NAME?</v>
      </c>
      <c r="D34" s="394" t="e">
        <f ca="1"/>
        <v>#NAME?</v>
      </c>
      <c r="E34" s="394" t="e">
        <f ca="1"/>
        <v>#NAME?</v>
      </c>
      <c r="F34" s="393" t="e">
        <f ca="1"/>
        <v>#NAME?</v>
      </c>
      <c r="H34" s="246" t="s">
        <v>88</v>
      </c>
      <c r="I34" s="287">
        <v>1.2914569167569183</v>
      </c>
      <c r="U34" s="412">
        <v>1.4976508597960728E-4</v>
      </c>
      <c r="V34" s="355">
        <v>-6.6017082338294575</v>
      </c>
      <c r="W34" s="355">
        <v>0.28720477971366593</v>
      </c>
      <c r="X34" s="355">
        <v>0.42802943464559107</v>
      </c>
      <c r="Y34" s="352">
        <v>6.6816536245685674</v>
      </c>
      <c r="Z34" s="346">
        <v>-6.3267579330512289</v>
      </c>
      <c r="AA34" s="339">
        <v>-0.95891010894096951</v>
      </c>
      <c r="AB34" s="346">
        <v>-572.54149999999993</v>
      </c>
      <c r="AC34" s="339">
        <v>-18.881908408807249</v>
      </c>
      <c r="AD34" s="411" t="s">
        <v>128</v>
      </c>
      <c r="AE34" s="286">
        <f t="shared" ref="AE34:AN34" si="13">MAX(AE3:AE30)</f>
        <v>5.1661352458140519E-2</v>
      </c>
      <c r="AF34" s="394">
        <f t="shared" si="13"/>
        <v>0.95484538751176173</v>
      </c>
      <c r="AG34" s="394">
        <f t="shared" si="13"/>
        <v>0.57024937815485943</v>
      </c>
      <c r="AH34" s="394">
        <f t="shared" si="13"/>
        <v>4.0159076108240432E-2</v>
      </c>
      <c r="AI34" s="393">
        <f t="shared" si="13"/>
        <v>1.7650460192677371</v>
      </c>
      <c r="AJ34" s="286">
        <f t="shared" si="13"/>
        <v>61.569074278345632</v>
      </c>
      <c r="AK34" s="394">
        <f t="shared" si="13"/>
        <v>64.88247864136062</v>
      </c>
      <c r="AL34" s="394">
        <f t="shared" si="13"/>
        <v>81.44161589548429</v>
      </c>
      <c r="AM34" s="394">
        <f t="shared" si="13"/>
        <v>62.013356614441214</v>
      </c>
      <c r="AN34" s="393">
        <f t="shared" si="13"/>
        <v>68.514390087433824</v>
      </c>
      <c r="AR34" s="144"/>
      <c r="AS34" s="144"/>
      <c r="AT34" s="144"/>
      <c r="AU34" s="144"/>
      <c r="AV34" s="144"/>
    </row>
    <row r="35" spans="1:48" ht="15" customHeight="1" x14ac:dyDescent="0.2">
      <c r="A35" s="1529" t="s">
        <v>141</v>
      </c>
      <c r="B35" s="1549"/>
      <c r="C35" s="1549"/>
      <c r="D35" s="1549"/>
      <c r="E35" s="1549"/>
      <c r="F35" s="1549"/>
      <c r="G35" s="1549"/>
      <c r="H35" s="1549"/>
      <c r="I35" s="1549"/>
      <c r="J35" s="1549"/>
      <c r="K35" s="1550"/>
      <c r="U35" s="410">
        <v>3.0212062276785451E-3</v>
      </c>
      <c r="V35" s="353">
        <v>-122.22708410474432</v>
      </c>
      <c r="W35" s="353">
        <v>4.6015808852751636</v>
      </c>
      <c r="X35" s="353">
        <v>6.6816536245685541</v>
      </c>
      <c r="Y35" s="354">
        <v>123.45539011362503</v>
      </c>
      <c r="Z35" s="286">
        <v>-7.1736170098775371</v>
      </c>
      <c r="AA35" s="393">
        <v>-18.697292466424187</v>
      </c>
      <c r="AB35" s="286">
        <v>114.40630000000017</v>
      </c>
      <c r="AC35" s="393">
        <v>88.926107714543832</v>
      </c>
      <c r="AD35" s="409" t="s">
        <v>140</v>
      </c>
      <c r="AE35" s="408">
        <f>1/28</f>
        <v>3.5714285714285712E-2</v>
      </c>
      <c r="AF35" s="407">
        <f>1/28</f>
        <v>3.5714285714285712E-2</v>
      </c>
      <c r="AG35" s="407">
        <f>1/28</f>
        <v>3.5714285714285712E-2</v>
      </c>
      <c r="AH35" s="407">
        <f>1/28</f>
        <v>3.5714285714285712E-2</v>
      </c>
      <c r="AI35" s="406">
        <f>1/28</f>
        <v>3.5714285714285712E-2</v>
      </c>
      <c r="AR35" s="144"/>
      <c r="AS35" s="144"/>
      <c r="AT35" s="144"/>
      <c r="AU35" s="144"/>
      <c r="AV35" s="144"/>
    </row>
    <row r="36" spans="1:48" ht="15" customHeight="1" x14ac:dyDescent="0.2">
      <c r="A36" s="364"/>
      <c r="B36" s="405" t="s">
        <v>139</v>
      </c>
      <c r="C36" s="404" t="s">
        <v>138</v>
      </c>
      <c r="D36" s="404" t="s">
        <v>137</v>
      </c>
      <c r="E36" s="404" t="s">
        <v>136</v>
      </c>
      <c r="F36" s="403" t="s">
        <v>135</v>
      </c>
      <c r="G36" s="379" t="s">
        <v>134</v>
      </c>
      <c r="H36" s="378" t="s">
        <v>133</v>
      </c>
      <c r="I36" s="378" t="s">
        <v>132</v>
      </c>
      <c r="J36" s="378" t="s">
        <v>132</v>
      </c>
      <c r="K36" s="377" t="s">
        <v>131</v>
      </c>
      <c r="AD36" s="369" t="s">
        <v>130</v>
      </c>
      <c r="AE36" s="286">
        <f t="array" ref="AE36">1/SUMSQ(AE3:AE30)</f>
        <v>151.53016270870327</v>
      </c>
      <c r="AF36" s="394">
        <f t="array" ref="AF36">1/SUMSQ(AF3:AF30)</f>
        <v>0.23428089165065502</v>
      </c>
      <c r="AG36" s="394">
        <f t="array" ref="AG36">1/SUMSQ(AG3:AG30)</f>
        <v>0.51396704738249333</v>
      </c>
      <c r="AH36" s="394">
        <f t="array" ref="AH36">1/SUMSQ(AH3:AH30)</f>
        <v>156.12808325813472</v>
      </c>
      <c r="AI36" s="393">
        <f t="array" ref="AI36">1/SUMSQ(AI3:AI30)</f>
        <v>9.3460368959066814E-2</v>
      </c>
    </row>
    <row r="37" spans="1:48" ht="15" customHeight="1" x14ac:dyDescent="0.2">
      <c r="A37" s="402" t="s">
        <v>129</v>
      </c>
      <c r="B37" s="401">
        <f t="shared" ref="B37:F38" si="14">AE33</f>
        <v>-4.0750869513862531E-2</v>
      </c>
      <c r="C37" s="400">
        <f t="shared" si="14"/>
        <v>-0.82566030763856657</v>
      </c>
      <c r="D37" s="400">
        <f t="shared" si="14"/>
        <v>-0.85087573863370436</v>
      </c>
      <c r="E37" s="400">
        <f t="shared" si="14"/>
        <v>-5.0856435117962784E-2</v>
      </c>
      <c r="F37" s="399">
        <f t="shared" si="14"/>
        <v>-1.181009116361436</v>
      </c>
      <c r="G37" s="295" t="e">
        <f t="shared" ref="G37:K38" ca="1" si="15">B$33+B$34*B37</f>
        <v>#NAME?</v>
      </c>
      <c r="H37" s="340" t="e">
        <f t="shared" ca="1" si="15"/>
        <v>#NAME?</v>
      </c>
      <c r="I37" s="340" t="e">
        <f t="shared" ca="1" si="15"/>
        <v>#NAME?</v>
      </c>
      <c r="J37" s="340" t="e">
        <f t="shared" ca="1" si="15"/>
        <v>#NAME?</v>
      </c>
      <c r="K37" s="344" t="e">
        <f t="shared" ca="1" si="15"/>
        <v>#NAME?</v>
      </c>
    </row>
    <row r="38" spans="1:48" ht="15" customHeight="1" outlineLevel="1" x14ac:dyDescent="0.2">
      <c r="A38" s="398" t="s">
        <v>128</v>
      </c>
      <c r="B38" s="397">
        <f t="shared" si="14"/>
        <v>5.1661352458140519E-2</v>
      </c>
      <c r="C38" s="396">
        <f t="shared" si="14"/>
        <v>0.95484538751176173</v>
      </c>
      <c r="D38" s="396">
        <f t="shared" si="14"/>
        <v>0.57024937815485943</v>
      </c>
      <c r="E38" s="396">
        <f t="shared" si="14"/>
        <v>4.0159076108240432E-2</v>
      </c>
      <c r="F38" s="395">
        <f t="shared" si="14"/>
        <v>1.7650460192677371</v>
      </c>
      <c r="G38" s="286" t="e">
        <f t="shared" ca="1" si="15"/>
        <v>#NAME?</v>
      </c>
      <c r="H38" s="394" t="e">
        <f t="shared" ca="1" si="15"/>
        <v>#NAME?</v>
      </c>
      <c r="I38" s="394" t="e">
        <f t="shared" ca="1" si="15"/>
        <v>#NAME?</v>
      </c>
      <c r="J38" s="394" t="e">
        <f t="shared" ca="1" si="15"/>
        <v>#NAME?</v>
      </c>
      <c r="K38" s="393" t="e">
        <f t="shared" ca="1" si="15"/>
        <v>#NAME?</v>
      </c>
      <c r="L38" s="379">
        <v>1</v>
      </c>
      <c r="M38" s="378">
        <v>2</v>
      </c>
      <c r="N38" s="378">
        <v>3</v>
      </c>
      <c r="O38" s="378">
        <v>4</v>
      </c>
      <c r="P38" s="377">
        <v>5</v>
      </c>
      <c r="Q38" s="379">
        <v>1</v>
      </c>
      <c r="R38" s="378">
        <v>2</v>
      </c>
      <c r="S38" s="378">
        <v>3</v>
      </c>
      <c r="T38" s="378">
        <v>4</v>
      </c>
      <c r="U38" s="377">
        <v>5</v>
      </c>
    </row>
    <row r="39" spans="1:48" ht="15" customHeight="1" outlineLevel="1" x14ac:dyDescent="0.2">
      <c r="A39" s="392" t="s">
        <v>127</v>
      </c>
      <c r="B39" s="391">
        <f>(B38-B37)/20</f>
        <v>4.6206110986001525E-3</v>
      </c>
      <c r="C39" s="390">
        <f>(C38-C37)/20</f>
        <v>8.9025284757516407E-2</v>
      </c>
      <c r="D39" s="390">
        <f>(D38-D37)/20</f>
        <v>7.1056255839428178E-2</v>
      </c>
      <c r="E39" s="390">
        <f>(E38-E37)/20</f>
        <v>4.5507755613101606E-3</v>
      </c>
      <c r="F39" s="389">
        <f>(F38-F37)/20</f>
        <v>0.14730275678145865</v>
      </c>
      <c r="G39" s="1532" t="s">
        <v>126</v>
      </c>
      <c r="H39" s="1533"/>
      <c r="I39" s="1533"/>
      <c r="J39" s="1533"/>
      <c r="K39" s="1534"/>
      <c r="L39" s="1532" t="s">
        <v>125</v>
      </c>
      <c r="M39" s="1533"/>
      <c r="N39" s="1533"/>
      <c r="O39" s="1533"/>
      <c r="P39" s="1534"/>
      <c r="Q39" s="1532" t="s">
        <v>124</v>
      </c>
      <c r="R39" s="1533"/>
      <c r="S39" s="1533"/>
      <c r="T39" s="1533"/>
      <c r="U39" s="1534"/>
    </row>
    <row r="40" spans="1:48" ht="15" customHeight="1" outlineLevel="1" x14ac:dyDescent="0.2">
      <c r="A40" s="373">
        <v>1</v>
      </c>
      <c r="B40" s="388">
        <f>B37</f>
        <v>-4.0750869513862531E-2</v>
      </c>
      <c r="C40" s="387">
        <f>C37</f>
        <v>-0.82566030763856657</v>
      </c>
      <c r="D40" s="387">
        <f>D37</f>
        <v>-0.85087573863370436</v>
      </c>
      <c r="E40" s="387">
        <f>E37</f>
        <v>-5.0856435117962784E-2</v>
      </c>
      <c r="F40" s="386">
        <f>F37</f>
        <v>-1.181009116361436</v>
      </c>
      <c r="G40" s="376" t="e">
        <f t="shared" ref="G40:G60" ca="1" si="16">B$33+B$34*B40</f>
        <v>#NAME?</v>
      </c>
      <c r="H40" s="375" t="e">
        <f t="shared" ref="H40:H60" ca="1" si="17">C$33+C$34*C40</f>
        <v>#NAME?</v>
      </c>
      <c r="I40" s="375" t="e">
        <f t="shared" ref="I40:I60" ca="1" si="18">D$33+D$34*D40</f>
        <v>#NAME?</v>
      </c>
      <c r="J40" s="375" t="e">
        <f t="shared" ref="J40:J60" ca="1" si="19">E$33+E$34*E40</f>
        <v>#NAME?</v>
      </c>
      <c r="K40" s="374" t="e">
        <f t="shared" ref="K40:K60" ca="1" si="20">F$33+F$34*F40</f>
        <v>#NAME?</v>
      </c>
      <c r="L40" s="376">
        <f t="shared" ref="L40:L60" si="21">s*t_crit*SQRT(AE$35+AE$36*B40^2)</f>
        <v>7.1497168223423921</v>
      </c>
      <c r="M40" s="375">
        <f t="shared" ref="M40:M60" si="22">s*t_crit*SQRT(AF$35+AF$36*C40^2)</f>
        <v>5.8962427071950767</v>
      </c>
      <c r="N40" s="375">
        <f t="shared" ref="N40:N60" si="23">s*t_crit*SQRT(AG$35+AG$36*D40^2)</f>
        <v>8.5176110913225003</v>
      </c>
      <c r="O40" s="375">
        <f t="shared" ref="O40:O60" si="24">s*t_crit*SQRT(AH$35+AH$36*E40^2)</f>
        <v>8.8424475827753852</v>
      </c>
      <c r="P40" s="374">
        <f t="shared" ref="P40:P60" si="25">s*t_crit*SQRT(AI$35+AI$36*F40^2)</f>
        <v>5.4353826208527964</v>
      </c>
      <c r="Q40" s="376">
        <f t="shared" ref="Q40:Q60" si="26">s*t_crit*SQRT(1+AE$35+AE$36*B40^2)</f>
        <v>15.133220686684801</v>
      </c>
      <c r="R40" s="375">
        <f t="shared" ref="R40:R60" si="27">s*t_crit*SQRT(1+AF$35+AF$36*C40^2)</f>
        <v>14.582921373112114</v>
      </c>
      <c r="S40" s="375">
        <f t="shared" ref="S40:S60" si="28">s*t_crit*SQRT(1+AG$35+AG$36*D40^2)</f>
        <v>15.825473655320373</v>
      </c>
      <c r="T40" s="375">
        <f t="shared" ref="T40:T60" si="29">s*t_crit*SQRT(1+AH$35+AH$36*E40^2)</f>
        <v>16.002649685797326</v>
      </c>
      <c r="U40" s="374">
        <f t="shared" ref="U40:U60" si="30">s*t_crit*SQRT(1+AI$35+AI$36*F40^2)</f>
        <v>14.402753276623454</v>
      </c>
    </row>
    <row r="41" spans="1:48" ht="15" customHeight="1" outlineLevel="1" x14ac:dyDescent="0.2">
      <c r="A41" s="373">
        <v>2</v>
      </c>
      <c r="B41" s="385">
        <f t="shared" ref="B41:B60" si="31">B40+B$39</f>
        <v>-3.6130258415262378E-2</v>
      </c>
      <c r="C41" s="384">
        <f t="shared" ref="C41:C60" si="32">C40+C$39</f>
        <v>-0.73663502288105021</v>
      </c>
      <c r="D41" s="384">
        <f t="shared" ref="D41:D60" si="33">D40+D$39</f>
        <v>-0.77981948279427615</v>
      </c>
      <c r="E41" s="384">
        <f t="shared" ref="E41:E60" si="34">E40+E$39</f>
        <v>-4.6305659556652626E-2</v>
      </c>
      <c r="F41" s="383">
        <f t="shared" ref="F41:F60" si="35">F40+F$39</f>
        <v>-1.0337063595799774</v>
      </c>
      <c r="G41" s="372" t="e">
        <f t="shared" ca="1" si="16"/>
        <v>#NAME?</v>
      </c>
      <c r="H41" s="371" t="e">
        <f t="shared" ca="1" si="17"/>
        <v>#NAME?</v>
      </c>
      <c r="I41" s="371" t="e">
        <f t="shared" ca="1" si="18"/>
        <v>#NAME?</v>
      </c>
      <c r="J41" s="371" t="e">
        <f t="shared" ca="1" si="19"/>
        <v>#NAME?</v>
      </c>
      <c r="K41" s="370" t="e">
        <f t="shared" ca="1" si="20"/>
        <v>#NAME?</v>
      </c>
      <c r="L41" s="372">
        <f t="shared" si="21"/>
        <v>6.4453431629803948</v>
      </c>
      <c r="M41" s="371">
        <f t="shared" si="22"/>
        <v>5.3822855420810081</v>
      </c>
      <c r="N41" s="371">
        <f t="shared" si="23"/>
        <v>7.8711688120887464</v>
      </c>
      <c r="O41" s="371">
        <f t="shared" si="24"/>
        <v>8.1183745089024058</v>
      </c>
      <c r="P41" s="370">
        <f t="shared" si="25"/>
        <v>4.9111456572809793</v>
      </c>
      <c r="Q41" s="372">
        <f t="shared" si="26"/>
        <v>14.813452204020409</v>
      </c>
      <c r="R41" s="371">
        <f t="shared" si="27"/>
        <v>14.382799288341378</v>
      </c>
      <c r="S41" s="371">
        <f t="shared" si="28"/>
        <v>15.487130663251266</v>
      </c>
      <c r="T41" s="371">
        <f t="shared" si="29"/>
        <v>15.614221798700548</v>
      </c>
      <c r="U41" s="370">
        <f t="shared" si="30"/>
        <v>14.213207568288338</v>
      </c>
    </row>
    <row r="42" spans="1:48" ht="15" customHeight="1" outlineLevel="1" x14ac:dyDescent="0.2">
      <c r="A42" s="373">
        <v>3</v>
      </c>
      <c r="B42" s="385">
        <f t="shared" si="31"/>
        <v>-3.1509647316662226E-2</v>
      </c>
      <c r="C42" s="384">
        <f t="shared" si="32"/>
        <v>-0.64760973812353384</v>
      </c>
      <c r="D42" s="384">
        <f t="shared" si="33"/>
        <v>-0.70876322695484795</v>
      </c>
      <c r="E42" s="384">
        <f t="shared" si="34"/>
        <v>-4.1754883995342468E-2</v>
      </c>
      <c r="F42" s="383">
        <f t="shared" si="35"/>
        <v>-0.88640360279851871</v>
      </c>
      <c r="G42" s="372" t="e">
        <f t="shared" ca="1" si="16"/>
        <v>#NAME?</v>
      </c>
      <c r="H42" s="371" t="e">
        <f t="shared" ca="1" si="17"/>
        <v>#NAME?</v>
      </c>
      <c r="I42" s="371" t="e">
        <f t="shared" ca="1" si="18"/>
        <v>#NAME?</v>
      </c>
      <c r="J42" s="371" t="e">
        <f t="shared" ca="1" si="19"/>
        <v>#NAME?</v>
      </c>
      <c r="K42" s="370" t="e">
        <f t="shared" ca="1" si="20"/>
        <v>#NAME?</v>
      </c>
      <c r="L42" s="372">
        <f t="shared" si="21"/>
        <v>5.7547802368490135</v>
      </c>
      <c r="M42" s="371">
        <f t="shared" si="22"/>
        <v>4.8819001653477514</v>
      </c>
      <c r="N42" s="371">
        <f t="shared" si="23"/>
        <v>7.2307802810393289</v>
      </c>
      <c r="O42" s="371">
        <f t="shared" si="24"/>
        <v>7.4011841852202469</v>
      </c>
      <c r="P42" s="370">
        <f t="shared" si="25"/>
        <v>4.4064536598972994</v>
      </c>
      <c r="Q42" s="372">
        <f t="shared" si="26"/>
        <v>14.526300743363638</v>
      </c>
      <c r="R42" s="371">
        <f t="shared" si="27"/>
        <v>14.203128772796557</v>
      </c>
      <c r="S42" s="371">
        <f t="shared" si="28"/>
        <v>15.171687486396699</v>
      </c>
      <c r="T42" s="371">
        <f t="shared" si="29"/>
        <v>15.253637109088878</v>
      </c>
      <c r="U42" s="370">
        <f t="shared" si="30"/>
        <v>14.046805742553762</v>
      </c>
    </row>
    <row r="43" spans="1:48" ht="15" customHeight="1" outlineLevel="1" x14ac:dyDescent="0.2">
      <c r="A43" s="373">
        <v>4</v>
      </c>
      <c r="B43" s="385">
        <f t="shared" si="31"/>
        <v>-2.6889036218062073E-2</v>
      </c>
      <c r="C43" s="384">
        <f t="shared" si="32"/>
        <v>-0.55858445336601747</v>
      </c>
      <c r="D43" s="384">
        <f t="shared" si="33"/>
        <v>-0.63770697111541974</v>
      </c>
      <c r="E43" s="384">
        <f t="shared" si="34"/>
        <v>-3.720410843403231E-2</v>
      </c>
      <c r="F43" s="383">
        <f t="shared" si="35"/>
        <v>-0.73910084601706005</v>
      </c>
      <c r="G43" s="372" t="e">
        <f t="shared" ca="1" si="16"/>
        <v>#NAME?</v>
      </c>
      <c r="H43" s="371" t="e">
        <f t="shared" ca="1" si="17"/>
        <v>#NAME?</v>
      </c>
      <c r="I43" s="371" t="e">
        <f t="shared" ca="1" si="18"/>
        <v>#NAME?</v>
      </c>
      <c r="J43" s="371" t="e">
        <f t="shared" ca="1" si="19"/>
        <v>#NAME?</v>
      </c>
      <c r="K43" s="370" t="e">
        <f t="shared" ca="1" si="20"/>
        <v>#NAME?</v>
      </c>
      <c r="L43" s="372">
        <f t="shared" si="21"/>
        <v>5.0836593018450182</v>
      </c>
      <c r="M43" s="371">
        <f t="shared" si="22"/>
        <v>4.3997196235596165</v>
      </c>
      <c r="N43" s="371">
        <f t="shared" si="23"/>
        <v>6.5982083716586235</v>
      </c>
      <c r="O43" s="371">
        <f t="shared" si="24"/>
        <v>6.6930895171366167</v>
      </c>
      <c r="P43" s="370">
        <f t="shared" si="25"/>
        <v>3.9288459888936953</v>
      </c>
      <c r="Q43" s="372">
        <f t="shared" si="26"/>
        <v>14.273734956536584</v>
      </c>
      <c r="R43" s="371">
        <f t="shared" si="27"/>
        <v>14.044694744926094</v>
      </c>
      <c r="S43" s="371">
        <f t="shared" si="28"/>
        <v>14.880600506298292</v>
      </c>
      <c r="T43" s="371">
        <f t="shared" si="29"/>
        <v>14.922914091980262</v>
      </c>
      <c r="U43" s="370">
        <f t="shared" si="30"/>
        <v>13.904378753351949</v>
      </c>
    </row>
    <row r="44" spans="1:48" ht="15" customHeight="1" outlineLevel="1" x14ac:dyDescent="0.2">
      <c r="A44" s="373">
        <v>5</v>
      </c>
      <c r="B44" s="385">
        <f t="shared" si="31"/>
        <v>-2.2268425119461921E-2</v>
      </c>
      <c r="C44" s="384">
        <f t="shared" si="32"/>
        <v>-0.46955916860850105</v>
      </c>
      <c r="D44" s="384">
        <f t="shared" si="33"/>
        <v>-0.56665071527599153</v>
      </c>
      <c r="E44" s="384">
        <f t="shared" si="34"/>
        <v>-3.2653332872722152E-2</v>
      </c>
      <c r="F44" s="383">
        <f t="shared" si="35"/>
        <v>-0.5917980892356014</v>
      </c>
      <c r="G44" s="372" t="e">
        <f t="shared" ca="1" si="16"/>
        <v>#NAME?</v>
      </c>
      <c r="H44" s="371" t="e">
        <f t="shared" ca="1" si="17"/>
        <v>#NAME?</v>
      </c>
      <c r="I44" s="371" t="e">
        <f t="shared" ca="1" si="18"/>
        <v>#NAME?</v>
      </c>
      <c r="J44" s="371" t="e">
        <f t="shared" ca="1" si="19"/>
        <v>#NAME?</v>
      </c>
      <c r="K44" s="370" t="e">
        <f t="shared" ca="1" si="20"/>
        <v>#NAME?</v>
      </c>
      <c r="L44" s="372">
        <f t="shared" si="21"/>
        <v>4.4408036949408505</v>
      </c>
      <c r="M44" s="371">
        <f t="shared" si="22"/>
        <v>3.9424292360210802</v>
      </c>
      <c r="N44" s="371">
        <f t="shared" si="23"/>
        <v>5.9759358428512943</v>
      </c>
      <c r="O44" s="371">
        <f t="shared" si="24"/>
        <v>5.9973131058287814</v>
      </c>
      <c r="P44" s="370">
        <f t="shared" si="25"/>
        <v>3.4894616361125292</v>
      </c>
      <c r="Q44" s="372">
        <f t="shared" si="26"/>
        <v>14.057619114530715</v>
      </c>
      <c r="R44" s="371">
        <f t="shared" si="27"/>
        <v>13.908222963170125</v>
      </c>
      <c r="S44" s="371">
        <f t="shared" si="28"/>
        <v>14.615325070284747</v>
      </c>
      <c r="T44" s="371">
        <f t="shared" si="29"/>
        <v>14.624078849676811</v>
      </c>
      <c r="U44" s="370">
        <f t="shared" si="30"/>
        <v>13.786669656669087</v>
      </c>
    </row>
    <row r="45" spans="1:48" ht="15" customHeight="1" outlineLevel="1" x14ac:dyDescent="0.2">
      <c r="A45" s="373">
        <v>6</v>
      </c>
      <c r="B45" s="385">
        <f t="shared" si="31"/>
        <v>-1.7647814020861768E-2</v>
      </c>
      <c r="C45" s="384">
        <f t="shared" si="32"/>
        <v>-0.38053388385098463</v>
      </c>
      <c r="D45" s="384">
        <f t="shared" si="33"/>
        <v>-0.49559445943656333</v>
      </c>
      <c r="E45" s="384">
        <f t="shared" si="34"/>
        <v>-2.810255731141199E-2</v>
      </c>
      <c r="F45" s="383">
        <f t="shared" si="35"/>
        <v>-0.44449533245414274</v>
      </c>
      <c r="G45" s="372" t="e">
        <f t="shared" ca="1" si="16"/>
        <v>#NAME?</v>
      </c>
      <c r="H45" s="371" t="e">
        <f t="shared" ca="1" si="17"/>
        <v>#NAME?</v>
      </c>
      <c r="I45" s="371" t="e">
        <f t="shared" ca="1" si="18"/>
        <v>#NAME?</v>
      </c>
      <c r="J45" s="371" t="e">
        <f t="shared" ca="1" si="19"/>
        <v>#NAME?</v>
      </c>
      <c r="K45" s="370" t="e">
        <f t="shared" ca="1" si="20"/>
        <v>#NAME?</v>
      </c>
      <c r="L45" s="372">
        <f t="shared" si="21"/>
        <v>3.8404338626934837</v>
      </c>
      <c r="M45" s="371">
        <f t="shared" si="22"/>
        <v>3.5197437079589999</v>
      </c>
      <c r="N45" s="371">
        <f t="shared" si="23"/>
        <v>5.3675459866510522</v>
      </c>
      <c r="O45" s="371">
        <f t="shared" si="24"/>
        <v>5.3186914705009025</v>
      </c>
      <c r="P45" s="370">
        <f t="shared" si="25"/>
        <v>3.1045722689587145</v>
      </c>
      <c r="Q45" s="372">
        <f t="shared" si="26"/>
        <v>13.87965597433675</v>
      </c>
      <c r="R45" s="371">
        <f t="shared" si="27"/>
        <v>13.794365280140148</v>
      </c>
      <c r="S45" s="371">
        <f t="shared" si="28"/>
        <v>14.377289996067857</v>
      </c>
      <c r="T45" s="371">
        <f t="shared" si="29"/>
        <v>14.359122419932149</v>
      </c>
      <c r="U45" s="370">
        <f t="shared" si="30"/>
        <v>13.69431585313434</v>
      </c>
    </row>
    <row r="46" spans="1:48" ht="15" customHeight="1" outlineLevel="1" x14ac:dyDescent="0.2">
      <c r="A46" s="373">
        <v>7</v>
      </c>
      <c r="B46" s="385">
        <f t="shared" si="31"/>
        <v>-1.3027202922261616E-2</v>
      </c>
      <c r="C46" s="384">
        <f t="shared" si="32"/>
        <v>-0.29150859909346821</v>
      </c>
      <c r="D46" s="384">
        <f t="shared" si="33"/>
        <v>-0.42453820359713512</v>
      </c>
      <c r="E46" s="384">
        <f t="shared" si="34"/>
        <v>-2.3551781750101829E-2</v>
      </c>
      <c r="F46" s="383">
        <f t="shared" si="35"/>
        <v>-0.29719257567268409</v>
      </c>
      <c r="G46" s="372" t="e">
        <f t="shared" ca="1" si="16"/>
        <v>#NAME?</v>
      </c>
      <c r="H46" s="371" t="e">
        <f t="shared" ca="1" si="17"/>
        <v>#NAME?</v>
      </c>
      <c r="I46" s="371" t="e">
        <f t="shared" ca="1" si="18"/>
        <v>#NAME?</v>
      </c>
      <c r="J46" s="371" t="e">
        <f t="shared" ca="1" si="19"/>
        <v>#NAME?</v>
      </c>
      <c r="K46" s="370" t="e">
        <f t="shared" ca="1" si="20"/>
        <v>#NAME?</v>
      </c>
      <c r="L46" s="372">
        <f t="shared" si="21"/>
        <v>3.3057792254478833</v>
      </c>
      <c r="M46" s="371">
        <f t="shared" si="22"/>
        <v>3.1456438501497912</v>
      </c>
      <c r="N46" s="371">
        <f t="shared" si="23"/>
        <v>4.778344470487971</v>
      </c>
      <c r="O46" s="371">
        <f t="shared" si="24"/>
        <v>4.6647176432774868</v>
      </c>
      <c r="P46" s="370">
        <f t="shared" si="25"/>
        <v>2.7967678120117636</v>
      </c>
      <c r="Q46" s="372">
        <f t="shared" si="26"/>
        <v>13.741327956191927</v>
      </c>
      <c r="R46" s="371">
        <f t="shared" si="27"/>
        <v>13.703685378182184</v>
      </c>
      <c r="S46" s="371">
        <f t="shared" si="28"/>
        <v>14.167868350279868</v>
      </c>
      <c r="T46" s="371">
        <f t="shared" si="29"/>
        <v>14.129950757300016</v>
      </c>
      <c r="U46" s="370">
        <f t="shared" si="30"/>
        <v>13.627832839689665</v>
      </c>
    </row>
    <row r="47" spans="1:48" ht="15" customHeight="1" outlineLevel="1" x14ac:dyDescent="0.2">
      <c r="A47" s="373">
        <v>8</v>
      </c>
      <c r="B47" s="385">
        <f t="shared" si="31"/>
        <v>-8.4065918236614634E-3</v>
      </c>
      <c r="C47" s="384">
        <f t="shared" si="32"/>
        <v>-0.20248331433595179</v>
      </c>
      <c r="D47" s="384">
        <f t="shared" si="33"/>
        <v>-0.35348194775770692</v>
      </c>
      <c r="E47" s="384">
        <f t="shared" si="34"/>
        <v>-1.9001006188791667E-2</v>
      </c>
      <c r="F47" s="383">
        <f t="shared" si="35"/>
        <v>-0.14988981889122543</v>
      </c>
      <c r="G47" s="372" t="e">
        <f t="shared" ca="1" si="16"/>
        <v>#NAME?</v>
      </c>
      <c r="H47" s="371" t="e">
        <f t="shared" ca="1" si="17"/>
        <v>#NAME?</v>
      </c>
      <c r="I47" s="371" t="e">
        <f t="shared" ca="1" si="18"/>
        <v>#NAME?</v>
      </c>
      <c r="J47" s="371" t="e">
        <f t="shared" ca="1" si="19"/>
        <v>#NAME?</v>
      </c>
      <c r="K47" s="370" t="e">
        <f t="shared" ca="1" si="20"/>
        <v>#NAME?</v>
      </c>
      <c r="L47" s="372">
        <f t="shared" si="21"/>
        <v>2.8737553058742424</v>
      </c>
      <c r="M47" s="371">
        <f t="shared" si="22"/>
        <v>2.8393989976469416</v>
      </c>
      <c r="N47" s="371">
        <f t="shared" si="23"/>
        <v>4.2163831748742009</v>
      </c>
      <c r="O47" s="371">
        <f t="shared" si="24"/>
        <v>4.0473571239416604</v>
      </c>
      <c r="P47" s="370">
        <f t="shared" si="25"/>
        <v>2.5936395611676577</v>
      </c>
      <c r="Q47" s="372">
        <f t="shared" si="26"/>
        <v>13.643840634889408</v>
      </c>
      <c r="R47" s="371">
        <f t="shared" si="27"/>
        <v>13.636645642534583</v>
      </c>
      <c r="S47" s="371">
        <f t="shared" si="28"/>
        <v>13.988345319929062</v>
      </c>
      <c r="T47" s="371">
        <f t="shared" si="29"/>
        <v>13.938329074926461</v>
      </c>
      <c r="U47" s="370">
        <f t="shared" si="30"/>
        <v>13.587600372599756</v>
      </c>
    </row>
    <row r="48" spans="1:48" ht="15" customHeight="1" outlineLevel="1" x14ac:dyDescent="0.2">
      <c r="A48" s="373">
        <v>9</v>
      </c>
      <c r="B48" s="385">
        <f t="shared" si="31"/>
        <v>-3.7859807250613109E-3</v>
      </c>
      <c r="C48" s="384">
        <f t="shared" si="32"/>
        <v>-0.11345802957843538</v>
      </c>
      <c r="D48" s="384">
        <f t="shared" si="33"/>
        <v>-0.28242569191827871</v>
      </c>
      <c r="E48" s="384">
        <f t="shared" si="34"/>
        <v>-1.4450230627481506E-2</v>
      </c>
      <c r="F48" s="383">
        <f t="shared" si="35"/>
        <v>-2.5870621097667801E-3</v>
      </c>
      <c r="G48" s="372" t="e">
        <f t="shared" ca="1" si="16"/>
        <v>#NAME?</v>
      </c>
      <c r="H48" s="371" t="e">
        <f t="shared" ca="1" si="17"/>
        <v>#NAME?</v>
      </c>
      <c r="I48" s="371" t="e">
        <f t="shared" ca="1" si="18"/>
        <v>#NAME?</v>
      </c>
      <c r="J48" s="371" t="e">
        <f t="shared" ca="1" si="19"/>
        <v>#NAME?</v>
      </c>
      <c r="K48" s="370" t="e">
        <f t="shared" ca="1" si="20"/>
        <v>#NAME?</v>
      </c>
      <c r="L48" s="372">
        <f t="shared" si="21"/>
        <v>2.596114802090896</v>
      </c>
      <c r="M48" s="371">
        <f t="shared" si="22"/>
        <v>2.6248676304295291</v>
      </c>
      <c r="N48" s="371">
        <f t="shared" si="23"/>
        <v>3.6941147132935175</v>
      </c>
      <c r="O48" s="371">
        <f t="shared" si="24"/>
        <v>3.4861161698988421</v>
      </c>
      <c r="P48" s="370">
        <f t="shared" si="25"/>
        <v>2.5206223259413791</v>
      </c>
      <c r="Q48" s="372">
        <f t="shared" si="26"/>
        <v>13.588073070816719</v>
      </c>
      <c r="R48" s="371">
        <f t="shared" si="27"/>
        <v>13.593595837360171</v>
      </c>
      <c r="S48" s="371">
        <f t="shared" si="28"/>
        <v>13.839884436916034</v>
      </c>
      <c r="T48" s="371">
        <f t="shared" si="29"/>
        <v>13.785823285616612</v>
      </c>
      <c r="U48" s="370">
        <f t="shared" si="30"/>
        <v>13.573851871235856</v>
      </c>
    </row>
    <row r="49" spans="1:21" ht="15" customHeight="1" outlineLevel="1" x14ac:dyDescent="0.2">
      <c r="A49" s="373">
        <v>10</v>
      </c>
      <c r="B49" s="385">
        <f t="shared" si="31"/>
        <v>8.3463037353884162E-4</v>
      </c>
      <c r="C49" s="384">
        <f t="shared" si="32"/>
        <v>-2.4432744820918978E-2</v>
      </c>
      <c r="D49" s="384">
        <f t="shared" si="33"/>
        <v>-0.21136943607885053</v>
      </c>
      <c r="E49" s="384">
        <f t="shared" si="34"/>
        <v>-9.8994550661713442E-3</v>
      </c>
      <c r="F49" s="383">
        <f t="shared" si="35"/>
        <v>0.14471569467169187</v>
      </c>
      <c r="G49" s="372" t="e">
        <f t="shared" ca="1" si="16"/>
        <v>#NAME?</v>
      </c>
      <c r="H49" s="371" t="e">
        <f t="shared" ca="1" si="17"/>
        <v>#NAME?</v>
      </c>
      <c r="I49" s="371" t="e">
        <f t="shared" ca="1" si="18"/>
        <v>#NAME?</v>
      </c>
      <c r="J49" s="371" t="e">
        <f t="shared" ca="1" si="19"/>
        <v>#NAME?</v>
      </c>
      <c r="K49" s="370" t="e">
        <f t="shared" ca="1" si="20"/>
        <v>#NAME?</v>
      </c>
      <c r="L49" s="372">
        <f t="shared" si="21"/>
        <v>2.5243224457640281</v>
      </c>
      <c r="M49" s="371">
        <f t="shared" si="22"/>
        <v>2.5255307284410597</v>
      </c>
      <c r="N49" s="371">
        <f t="shared" si="23"/>
        <v>3.230845894107484</v>
      </c>
      <c r="O49" s="371">
        <f t="shared" si="24"/>
        <v>3.012525431499435</v>
      </c>
      <c r="P49" s="370">
        <f t="shared" si="25"/>
        <v>2.5887491969376986</v>
      </c>
      <c r="Q49" s="372">
        <f t="shared" si="26"/>
        <v>13.574539458943242</v>
      </c>
      <c r="R49" s="371">
        <f t="shared" si="27"/>
        <v>13.574764203201433</v>
      </c>
      <c r="S49" s="371">
        <f t="shared" si="28"/>
        <v>13.723493830059828</v>
      </c>
      <c r="T49" s="371">
        <f t="shared" si="29"/>
        <v>13.673742252494375</v>
      </c>
      <c r="U49" s="370">
        <f t="shared" si="30"/>
        <v>13.586667734101125</v>
      </c>
    </row>
    <row r="50" spans="1:21" ht="15" customHeight="1" outlineLevel="1" x14ac:dyDescent="0.2">
      <c r="A50" s="373">
        <v>11</v>
      </c>
      <c r="B50" s="385">
        <f t="shared" si="31"/>
        <v>5.4552414721389941E-3</v>
      </c>
      <c r="C50" s="384">
        <f t="shared" si="32"/>
        <v>6.4592539936597429E-2</v>
      </c>
      <c r="D50" s="384">
        <f t="shared" si="33"/>
        <v>-0.14031318023942235</v>
      </c>
      <c r="E50" s="384">
        <f t="shared" si="34"/>
        <v>-5.3486795048611835E-3</v>
      </c>
      <c r="F50" s="383">
        <f t="shared" si="35"/>
        <v>0.29201845145315053</v>
      </c>
      <c r="G50" s="372" t="e">
        <f t="shared" ca="1" si="16"/>
        <v>#NAME?</v>
      </c>
      <c r="H50" s="371" t="e">
        <f t="shared" ca="1" si="17"/>
        <v>#NAME?</v>
      </c>
      <c r="I50" s="371" t="e">
        <f t="shared" ca="1" si="18"/>
        <v>#NAME?</v>
      </c>
      <c r="J50" s="371" t="e">
        <f t="shared" ca="1" si="19"/>
        <v>#NAME?</v>
      </c>
      <c r="K50" s="370" t="e">
        <f t="shared" ca="1" si="20"/>
        <v>#NAME?</v>
      </c>
      <c r="L50" s="372">
        <f t="shared" si="21"/>
        <v>2.6750036993802935</v>
      </c>
      <c r="M50" s="371">
        <f t="shared" si="22"/>
        <v>2.5548606257305599</v>
      </c>
      <c r="N50" s="371">
        <f t="shared" si="23"/>
        <v>2.8554390392478806</v>
      </c>
      <c r="O50" s="371">
        <f t="shared" si="24"/>
        <v>2.6735763061718214</v>
      </c>
      <c r="P50" s="370">
        <f t="shared" si="25"/>
        <v>2.7876912772199702</v>
      </c>
      <c r="Q50" s="372">
        <f t="shared" si="26"/>
        <v>13.603365852020495</v>
      </c>
      <c r="R50" s="371">
        <f t="shared" si="27"/>
        <v>13.580251489907223</v>
      </c>
      <c r="S50" s="371">
        <f t="shared" si="28"/>
        <v>13.639994494833196</v>
      </c>
      <c r="T50" s="371">
        <f t="shared" si="29"/>
        <v>13.603085237443098</v>
      </c>
      <c r="U50" s="370">
        <f t="shared" si="30"/>
        <v>13.625973006332698</v>
      </c>
    </row>
    <row r="51" spans="1:21" ht="15" customHeight="1" outlineLevel="1" x14ac:dyDescent="0.2">
      <c r="A51" s="373">
        <v>12</v>
      </c>
      <c r="B51" s="385">
        <f t="shared" si="31"/>
        <v>1.0075852570739147E-2</v>
      </c>
      <c r="C51" s="384">
        <f t="shared" si="32"/>
        <v>0.15361782469411384</v>
      </c>
      <c r="D51" s="384">
        <f t="shared" si="33"/>
        <v>-6.9256924399994174E-2</v>
      </c>
      <c r="E51" s="384">
        <f t="shared" si="34"/>
        <v>-7.9790394355102288E-4</v>
      </c>
      <c r="F51" s="383">
        <f t="shared" si="35"/>
        <v>0.43932120823460918</v>
      </c>
      <c r="G51" s="372" t="e">
        <f t="shared" ca="1" si="16"/>
        <v>#NAME?</v>
      </c>
      <c r="H51" s="371" t="e">
        <f t="shared" ca="1" si="17"/>
        <v>#NAME?</v>
      </c>
      <c r="I51" s="371" t="e">
        <f t="shared" ca="1" si="18"/>
        <v>#NAME?</v>
      </c>
      <c r="J51" s="371" t="e">
        <f t="shared" ca="1" si="19"/>
        <v>#NAME?</v>
      </c>
      <c r="K51" s="370" t="e">
        <f t="shared" ca="1" si="20"/>
        <v>#NAME?</v>
      </c>
      <c r="L51" s="372">
        <f t="shared" si="21"/>
        <v>3.0149850762758286</v>
      </c>
      <c r="M51" s="371">
        <f t="shared" si="22"/>
        <v>2.7086808869081809</v>
      </c>
      <c r="N51" s="371">
        <f t="shared" si="23"/>
        <v>2.6061435611149011</v>
      </c>
      <c r="O51" s="371">
        <f t="shared" si="24"/>
        <v>2.5241054491656425</v>
      </c>
      <c r="P51" s="370">
        <f t="shared" si="25"/>
        <v>3.0923029714700205</v>
      </c>
      <c r="Q51" s="372">
        <f t="shared" si="26"/>
        <v>13.674284358692596</v>
      </c>
      <c r="R51" s="371">
        <f t="shared" si="27"/>
        <v>13.610028282825892</v>
      </c>
      <c r="S51" s="371">
        <f t="shared" si="28"/>
        <v>13.589992714249691</v>
      </c>
      <c r="T51" s="371">
        <f t="shared" si="29"/>
        <v>13.574499107912848</v>
      </c>
      <c r="U51" s="370">
        <f t="shared" si="30"/>
        <v>13.691539554760864</v>
      </c>
    </row>
    <row r="52" spans="1:21" ht="15" customHeight="1" outlineLevel="1" x14ac:dyDescent="0.2">
      <c r="A52" s="373">
        <v>13</v>
      </c>
      <c r="B52" s="385">
        <f t="shared" si="31"/>
        <v>1.4696463669339299E-2</v>
      </c>
      <c r="C52" s="384">
        <f t="shared" si="32"/>
        <v>0.24264310945163026</v>
      </c>
      <c r="D52" s="384">
        <f t="shared" si="33"/>
        <v>1.7993314394340043E-3</v>
      </c>
      <c r="E52" s="384">
        <f t="shared" si="34"/>
        <v>3.7528716177591378E-3</v>
      </c>
      <c r="F52" s="383">
        <f t="shared" si="35"/>
        <v>0.58662396501606784</v>
      </c>
      <c r="G52" s="372" t="e">
        <f t="shared" ca="1" si="16"/>
        <v>#NAME?</v>
      </c>
      <c r="H52" s="371" t="e">
        <f t="shared" ca="1" si="17"/>
        <v>#NAME?</v>
      </c>
      <c r="I52" s="371" t="e">
        <f t="shared" ca="1" si="18"/>
        <v>#NAME?</v>
      </c>
      <c r="J52" s="371" t="e">
        <f t="shared" ca="1" si="19"/>
        <v>#NAME?</v>
      </c>
      <c r="K52" s="370" t="e">
        <f t="shared" ca="1" si="20"/>
        <v>#NAME?</v>
      </c>
      <c r="L52" s="372">
        <f t="shared" si="21"/>
        <v>3.4893659116795437</v>
      </c>
      <c r="M52" s="371">
        <f t="shared" si="22"/>
        <v>2.9676966574904604</v>
      </c>
      <c r="N52" s="371">
        <f t="shared" si="23"/>
        <v>2.5206589722353541</v>
      </c>
      <c r="O52" s="371">
        <f t="shared" si="24"/>
        <v>2.5970374730033914</v>
      </c>
      <c r="P52" s="370">
        <f t="shared" si="25"/>
        <v>3.474905385110163</v>
      </c>
      <c r="Q52" s="372">
        <f t="shared" si="26"/>
        <v>13.78664542874046</v>
      </c>
      <c r="R52" s="371">
        <f t="shared" si="27"/>
        <v>13.663935785969541</v>
      </c>
      <c r="S52" s="371">
        <f t="shared" si="28"/>
        <v>13.573858676387111</v>
      </c>
      <c r="T52" s="371">
        <f t="shared" si="29"/>
        <v>13.588249384979761</v>
      </c>
      <c r="U52" s="370">
        <f t="shared" si="30"/>
        <v>13.782992604934773</v>
      </c>
    </row>
    <row r="53" spans="1:21" ht="15" customHeight="1" outlineLevel="1" x14ac:dyDescent="0.2">
      <c r="A53" s="373">
        <v>14</v>
      </c>
      <c r="B53" s="385">
        <f t="shared" si="31"/>
        <v>1.9317074767939452E-2</v>
      </c>
      <c r="C53" s="384">
        <f t="shared" si="32"/>
        <v>0.33166839420914668</v>
      </c>
      <c r="D53" s="384">
        <f t="shared" si="33"/>
        <v>7.2855587278862183E-2</v>
      </c>
      <c r="E53" s="384">
        <f t="shared" si="34"/>
        <v>8.3036471790692984E-3</v>
      </c>
      <c r="F53" s="383">
        <f t="shared" si="35"/>
        <v>0.73392672179752649</v>
      </c>
      <c r="G53" s="372" t="e">
        <f t="shared" ca="1" si="16"/>
        <v>#NAME?</v>
      </c>
      <c r="H53" s="371" t="e">
        <f t="shared" ca="1" si="17"/>
        <v>#NAME?</v>
      </c>
      <c r="I53" s="371" t="e">
        <f t="shared" ca="1" si="18"/>
        <v>#NAME?</v>
      </c>
      <c r="J53" s="371" t="e">
        <f t="shared" ca="1" si="19"/>
        <v>#NAME?</v>
      </c>
      <c r="K53" s="370" t="e">
        <f t="shared" ca="1" si="20"/>
        <v>#NAME?</v>
      </c>
      <c r="L53" s="372">
        <f t="shared" si="21"/>
        <v>4.0512051488383056</v>
      </c>
      <c r="M53" s="371">
        <f t="shared" si="22"/>
        <v>3.3072838898775285</v>
      </c>
      <c r="N53" s="371">
        <f t="shared" si="23"/>
        <v>2.6150992880521104</v>
      </c>
      <c r="O53" s="371">
        <f t="shared" si="24"/>
        <v>2.8754992988960737</v>
      </c>
      <c r="P53" s="370">
        <f t="shared" si="25"/>
        <v>3.9126860289836927</v>
      </c>
      <c r="Q53" s="372">
        <f t="shared" si="26"/>
        <v>13.939446935592281</v>
      </c>
      <c r="R53" s="371">
        <f t="shared" si="27"/>
        <v>13.741690013985266</v>
      </c>
      <c r="S53" s="371">
        <f t="shared" si="28"/>
        <v>13.591712989854873</v>
      </c>
      <c r="T53" s="371">
        <f t="shared" si="29"/>
        <v>13.644208072664782</v>
      </c>
      <c r="U53" s="370">
        <f t="shared" si="30"/>
        <v>13.899821210131561</v>
      </c>
    </row>
    <row r="54" spans="1:21" ht="15" customHeight="1" outlineLevel="1" x14ac:dyDescent="0.2">
      <c r="A54" s="373">
        <v>15</v>
      </c>
      <c r="B54" s="385">
        <f t="shared" si="31"/>
        <v>2.3937685866539604E-2</v>
      </c>
      <c r="C54" s="384">
        <f t="shared" si="32"/>
        <v>0.4206936789666631</v>
      </c>
      <c r="D54" s="384">
        <f t="shared" si="33"/>
        <v>0.14391184311829036</v>
      </c>
      <c r="E54" s="384">
        <f t="shared" si="34"/>
        <v>1.285442274037946E-2</v>
      </c>
      <c r="F54" s="383">
        <f t="shared" si="35"/>
        <v>0.88122947857898515</v>
      </c>
      <c r="G54" s="372" t="e">
        <f t="shared" ca="1" si="16"/>
        <v>#NAME?</v>
      </c>
      <c r="H54" s="371" t="e">
        <f t="shared" ca="1" si="17"/>
        <v>#NAME?</v>
      </c>
      <c r="I54" s="371" t="e">
        <f t="shared" ca="1" si="18"/>
        <v>#NAME?</v>
      </c>
      <c r="J54" s="371" t="e">
        <f t="shared" ca="1" si="19"/>
        <v>#NAME?</v>
      </c>
      <c r="K54" s="370" t="e">
        <f t="shared" ca="1" si="20"/>
        <v>#NAME?</v>
      </c>
      <c r="L54" s="372">
        <f t="shared" si="21"/>
        <v>4.6690364195746357</v>
      </c>
      <c r="M54" s="371">
        <f t="shared" si="22"/>
        <v>3.7053558505482087</v>
      </c>
      <c r="N54" s="371">
        <f t="shared" si="23"/>
        <v>2.8717681238778403</v>
      </c>
      <c r="O54" s="371">
        <f t="shared" si="24"/>
        <v>3.307988220023101</v>
      </c>
      <c r="P54" s="370">
        <f t="shared" si="25"/>
        <v>4.3891652105123624</v>
      </c>
      <c r="Q54" s="372">
        <f t="shared" si="26"/>
        <v>14.131377102021352</v>
      </c>
      <c r="R54" s="371">
        <f t="shared" si="27"/>
        <v>13.842889138160821</v>
      </c>
      <c r="S54" s="371">
        <f t="shared" si="28"/>
        <v>13.64342221986624</v>
      </c>
      <c r="T54" s="371">
        <f t="shared" si="29"/>
        <v>13.741859545783118</v>
      </c>
      <c r="U54" s="370">
        <f t="shared" si="30"/>
        <v>14.041391987883218</v>
      </c>
    </row>
    <row r="55" spans="1:21" ht="15" customHeight="1" outlineLevel="1" x14ac:dyDescent="0.2">
      <c r="A55" s="373">
        <v>16</v>
      </c>
      <c r="B55" s="385">
        <f t="shared" si="31"/>
        <v>2.8558296965139757E-2</v>
      </c>
      <c r="C55" s="384">
        <f t="shared" si="32"/>
        <v>0.50971896372417946</v>
      </c>
      <c r="D55" s="384">
        <f t="shared" si="33"/>
        <v>0.21496809895771854</v>
      </c>
      <c r="E55" s="384">
        <f t="shared" si="34"/>
        <v>1.7405198301689621E-2</v>
      </c>
      <c r="F55" s="383">
        <f t="shared" si="35"/>
        <v>1.0285322353604438</v>
      </c>
      <c r="G55" s="372" t="e">
        <f t="shared" ca="1" si="16"/>
        <v>#NAME?</v>
      </c>
      <c r="H55" s="371" t="e">
        <f t="shared" ca="1" si="17"/>
        <v>#NAME?</v>
      </c>
      <c r="I55" s="371" t="e">
        <f t="shared" ca="1" si="18"/>
        <v>#NAME?</v>
      </c>
      <c r="J55" s="371" t="e">
        <f t="shared" ca="1" si="19"/>
        <v>#NAME?</v>
      </c>
      <c r="K55" s="370" t="e">
        <f t="shared" ca="1" si="20"/>
        <v>#NAME?</v>
      </c>
      <c r="L55" s="372">
        <f t="shared" si="21"/>
        <v>5.3234000651474798</v>
      </c>
      <c r="M55" s="371">
        <f t="shared" si="22"/>
        <v>4.1450970077581131</v>
      </c>
      <c r="N55" s="371">
        <f t="shared" si="23"/>
        <v>3.2524829387963243</v>
      </c>
      <c r="O55" s="371">
        <f t="shared" si="24"/>
        <v>3.8428470140981696</v>
      </c>
      <c r="P55" s="370">
        <f t="shared" si="25"/>
        <v>4.8930507136929577</v>
      </c>
      <c r="Q55" s="372">
        <f t="shared" si="26"/>
        <v>14.360867173183911</v>
      </c>
      <c r="R55" s="371">
        <f t="shared" si="27"/>
        <v>13.967023552494794</v>
      </c>
      <c r="S55" s="371">
        <f t="shared" si="28"/>
        <v>13.72860382483886</v>
      </c>
      <c r="T55" s="371">
        <f t="shared" si="29"/>
        <v>13.880323875399387</v>
      </c>
      <c r="U55" s="370">
        <f t="shared" si="30"/>
        <v>14.206965298718449</v>
      </c>
    </row>
    <row r="56" spans="1:21" ht="15" customHeight="1" outlineLevel="1" x14ac:dyDescent="0.2">
      <c r="A56" s="373">
        <v>17</v>
      </c>
      <c r="B56" s="385">
        <f t="shared" si="31"/>
        <v>3.3178908063739909E-2</v>
      </c>
      <c r="C56" s="384">
        <f t="shared" si="32"/>
        <v>0.59874424848169583</v>
      </c>
      <c r="D56" s="384">
        <f t="shared" si="33"/>
        <v>0.28602435479714672</v>
      </c>
      <c r="E56" s="384">
        <f t="shared" si="34"/>
        <v>2.1955973862999783E-2</v>
      </c>
      <c r="F56" s="383">
        <f t="shared" si="35"/>
        <v>1.1758349921419025</v>
      </c>
      <c r="G56" s="372" t="e">
        <f t="shared" ca="1" si="16"/>
        <v>#NAME?</v>
      </c>
      <c r="H56" s="371" t="e">
        <f t="shared" ca="1" si="17"/>
        <v>#NAME?</v>
      </c>
      <c r="I56" s="371" t="e">
        <f t="shared" ca="1" si="18"/>
        <v>#NAME?</v>
      </c>
      <c r="J56" s="371" t="e">
        <f t="shared" ca="1" si="19"/>
        <v>#NAME?</v>
      </c>
      <c r="K56" s="370" t="e">
        <f t="shared" ca="1" si="20"/>
        <v>#NAME?</v>
      </c>
      <c r="L56" s="372">
        <f t="shared" si="21"/>
        <v>6.0023599239688714</v>
      </c>
      <c r="M56" s="371">
        <f t="shared" si="22"/>
        <v>4.6146103196091985</v>
      </c>
      <c r="N56" s="371">
        <f t="shared" si="23"/>
        <v>3.71934451427824</v>
      </c>
      <c r="O56" s="371">
        <f t="shared" si="24"/>
        <v>4.443259788466869</v>
      </c>
      <c r="P56" s="370">
        <f t="shared" si="25"/>
        <v>5.4166995565751641</v>
      </c>
      <c r="Q56" s="372">
        <f t="shared" si="26"/>
        <v>14.626149266607619</v>
      </c>
      <c r="R56" s="371">
        <f t="shared" si="27"/>
        <v>14.113488091682465</v>
      </c>
      <c r="S56" s="371">
        <f t="shared" si="28"/>
        <v>13.846640073610301</v>
      </c>
      <c r="T56" s="371">
        <f t="shared" si="29"/>
        <v>14.058395187930438</v>
      </c>
      <c r="U56" s="370">
        <f t="shared" si="30"/>
        <v>14.395712965963881</v>
      </c>
    </row>
    <row r="57" spans="1:21" ht="15" customHeight="1" outlineLevel="1" x14ac:dyDescent="0.2">
      <c r="A57" s="373">
        <v>18</v>
      </c>
      <c r="B57" s="385">
        <f t="shared" si="31"/>
        <v>3.7799519162340062E-2</v>
      </c>
      <c r="C57" s="384">
        <f t="shared" si="32"/>
        <v>0.68776953323921219</v>
      </c>
      <c r="D57" s="384">
        <f t="shared" si="33"/>
        <v>0.35708061063657492</v>
      </c>
      <c r="E57" s="384">
        <f t="shared" si="34"/>
        <v>2.6506749424309944E-2</v>
      </c>
      <c r="F57" s="383">
        <f t="shared" si="35"/>
        <v>1.3231377489233611</v>
      </c>
      <c r="G57" s="372" t="e">
        <f t="shared" ca="1" si="16"/>
        <v>#NAME?</v>
      </c>
      <c r="H57" s="371" t="e">
        <f t="shared" ca="1" si="17"/>
        <v>#NAME?</v>
      </c>
      <c r="I57" s="371" t="e">
        <f t="shared" ca="1" si="18"/>
        <v>#NAME?</v>
      </c>
      <c r="J57" s="371" t="e">
        <f t="shared" ca="1" si="19"/>
        <v>#NAME?</v>
      </c>
      <c r="K57" s="370" t="e">
        <f t="shared" ca="1" si="20"/>
        <v>#NAME?</v>
      </c>
      <c r="L57" s="372">
        <f t="shared" si="21"/>
        <v>6.6984408855404958</v>
      </c>
      <c r="M57" s="371">
        <f t="shared" si="22"/>
        <v>5.1056889421063616</v>
      </c>
      <c r="N57" s="371">
        <f t="shared" si="23"/>
        <v>4.244017813760002</v>
      </c>
      <c r="O57" s="371">
        <f t="shared" si="24"/>
        <v>5.0860632306275857</v>
      </c>
      <c r="P57" s="370">
        <f t="shared" si="25"/>
        <v>5.9549003050817957</v>
      </c>
      <c r="Q57" s="372">
        <f t="shared" si="26"/>
        <v>14.925315005362519</v>
      </c>
      <c r="R57" s="371">
        <f t="shared" si="27"/>
        <v>14.281595754178388</v>
      </c>
      <c r="S57" s="371">
        <f t="shared" si="28"/>
        <v>13.996699786582951</v>
      </c>
      <c r="T57" s="371">
        <f t="shared" si="29"/>
        <v>14.274591304067551</v>
      </c>
      <c r="U57" s="370">
        <f t="shared" si="30"/>
        <v>14.606736642922069</v>
      </c>
    </row>
    <row r="58" spans="1:21" ht="15" customHeight="1" outlineLevel="1" x14ac:dyDescent="0.2">
      <c r="A58" s="373">
        <v>19</v>
      </c>
      <c r="B58" s="385">
        <f t="shared" si="31"/>
        <v>4.2420130260940214E-2</v>
      </c>
      <c r="C58" s="384">
        <f t="shared" si="32"/>
        <v>0.77679481799672856</v>
      </c>
      <c r="D58" s="384">
        <f t="shared" si="33"/>
        <v>0.42813686647600313</v>
      </c>
      <c r="E58" s="384">
        <f t="shared" si="34"/>
        <v>3.1057524985620106E-2</v>
      </c>
      <c r="F58" s="383">
        <f t="shared" si="35"/>
        <v>1.4704405057048198</v>
      </c>
      <c r="G58" s="372" t="e">
        <f t="shared" ca="1" si="16"/>
        <v>#NAME?</v>
      </c>
      <c r="H58" s="371" t="e">
        <f t="shared" ca="1" si="17"/>
        <v>#NAME?</v>
      </c>
      <c r="I58" s="371" t="e">
        <f t="shared" ca="1" si="18"/>
        <v>#NAME?</v>
      </c>
      <c r="J58" s="371" t="e">
        <f t="shared" ca="1" si="19"/>
        <v>#NAME?</v>
      </c>
      <c r="K58" s="370" t="e">
        <f t="shared" ca="1" si="20"/>
        <v>#NAME?</v>
      </c>
      <c r="L58" s="372">
        <f t="shared" si="21"/>
        <v>7.406817479474638</v>
      </c>
      <c r="M58" s="371">
        <f t="shared" si="22"/>
        <v>5.612675183799225</v>
      </c>
      <c r="N58" s="371">
        <f t="shared" si="23"/>
        <v>4.8076123003028171</v>
      </c>
      <c r="O58" s="371">
        <f t="shared" si="24"/>
        <v>5.7570754804995383</v>
      </c>
      <c r="P58" s="370">
        <f t="shared" si="25"/>
        <v>6.5040415095966484</v>
      </c>
      <c r="Q58" s="372">
        <f t="shared" si="26"/>
        <v>15.256371222753792</v>
      </c>
      <c r="R58" s="371">
        <f t="shared" si="27"/>
        <v>14.470592262621965</v>
      </c>
      <c r="S58" s="371">
        <f t="shared" si="28"/>
        <v>14.177766176032174</v>
      </c>
      <c r="T58" s="371">
        <f t="shared" si="29"/>
        <v>14.527210186418726</v>
      </c>
      <c r="U58" s="370">
        <f t="shared" si="30"/>
        <v>14.839086011974432</v>
      </c>
    </row>
    <row r="59" spans="1:21" ht="15" customHeight="1" outlineLevel="1" x14ac:dyDescent="0.2">
      <c r="A59" s="373">
        <v>20</v>
      </c>
      <c r="B59" s="385">
        <f t="shared" si="31"/>
        <v>4.7040741359540367E-2</v>
      </c>
      <c r="C59" s="384">
        <f t="shared" si="32"/>
        <v>0.86582010275424492</v>
      </c>
      <c r="D59" s="384">
        <f t="shared" si="33"/>
        <v>0.49919312231543134</v>
      </c>
      <c r="E59" s="384">
        <f t="shared" si="34"/>
        <v>3.5608300546930267E-2</v>
      </c>
      <c r="F59" s="383">
        <f t="shared" si="35"/>
        <v>1.6177432624862784</v>
      </c>
      <c r="G59" s="372" t="e">
        <f t="shared" ca="1" si="16"/>
        <v>#NAME?</v>
      </c>
      <c r="H59" s="371" t="e">
        <f t="shared" ca="1" si="17"/>
        <v>#NAME?</v>
      </c>
      <c r="I59" s="371" t="e">
        <f t="shared" ca="1" si="18"/>
        <v>#NAME?</v>
      </c>
      <c r="J59" s="371" t="e">
        <f t="shared" ca="1" si="19"/>
        <v>#NAME?</v>
      </c>
      <c r="K59" s="370" t="e">
        <f t="shared" ca="1" si="20"/>
        <v>#NAME?</v>
      </c>
      <c r="L59" s="372">
        <f t="shared" si="21"/>
        <v>8.124274077625584</v>
      </c>
      <c r="M59" s="371">
        <f t="shared" si="22"/>
        <v>6.1316244044877024</v>
      </c>
      <c r="N59" s="371">
        <f t="shared" si="23"/>
        <v>5.3979505458482855</v>
      </c>
      <c r="O59" s="371">
        <f t="shared" si="24"/>
        <v>6.4474951922810995</v>
      </c>
      <c r="P59" s="370">
        <f t="shared" si="25"/>
        <v>7.0615712862988564</v>
      </c>
      <c r="Q59" s="372">
        <f t="shared" si="26"/>
        <v>15.617290001808831</v>
      </c>
      <c r="R59" s="371">
        <f t="shared" si="27"/>
        <v>14.679670825666639</v>
      </c>
      <c r="S59" s="371">
        <f t="shared" si="28"/>
        <v>14.388668729512219</v>
      </c>
      <c r="T59" s="371">
        <f t="shared" si="29"/>
        <v>14.814388680155078</v>
      </c>
      <c r="U59" s="370">
        <f t="shared" si="30"/>
        <v>15.091776129524964</v>
      </c>
    </row>
    <row r="60" spans="1:21" ht="15" customHeight="1" outlineLevel="1" x14ac:dyDescent="0.2">
      <c r="A60" s="369">
        <v>21</v>
      </c>
      <c r="B60" s="382">
        <f t="shared" si="31"/>
        <v>5.1661352458140519E-2</v>
      </c>
      <c r="C60" s="381">
        <f t="shared" si="32"/>
        <v>0.95484538751176129</v>
      </c>
      <c r="D60" s="381">
        <f t="shared" si="33"/>
        <v>0.57024937815485954</v>
      </c>
      <c r="E60" s="381">
        <f t="shared" si="34"/>
        <v>4.0159076108240425E-2</v>
      </c>
      <c r="F60" s="380">
        <f t="shared" si="35"/>
        <v>1.7650460192677371</v>
      </c>
      <c r="G60" s="368" t="e">
        <f t="shared" ca="1" si="16"/>
        <v>#NAME?</v>
      </c>
      <c r="H60" s="367" t="e">
        <f t="shared" ca="1" si="17"/>
        <v>#NAME?</v>
      </c>
      <c r="I60" s="367" t="e">
        <f t="shared" ca="1" si="18"/>
        <v>#NAME?</v>
      </c>
      <c r="J60" s="367" t="e">
        <f t="shared" ca="1" si="19"/>
        <v>#NAME?</v>
      </c>
      <c r="K60" s="366" t="e">
        <f t="shared" ca="1" si="20"/>
        <v>#NAME?</v>
      </c>
      <c r="L60" s="368">
        <f t="shared" si="21"/>
        <v>8.8486022986381627</v>
      </c>
      <c r="M60" s="367">
        <f t="shared" si="22"/>
        <v>6.6597406053214794</v>
      </c>
      <c r="N60" s="367">
        <f t="shared" si="23"/>
        <v>6.0071531859704379</v>
      </c>
      <c r="O60" s="367">
        <f t="shared" si="24"/>
        <v>7.1517038308992218</v>
      </c>
      <c r="P60" s="366">
        <f t="shared" si="25"/>
        <v>7.6256499304804182</v>
      </c>
      <c r="Q60" s="368">
        <f t="shared" si="26"/>
        <v>16.006051366645167</v>
      </c>
      <c r="R60" s="367">
        <f t="shared" si="27"/>
        <v>14.907986538845101</v>
      </c>
      <c r="S60" s="367">
        <f t="shared" si="28"/>
        <v>14.628117004998757</v>
      </c>
      <c r="T60" s="367">
        <f t="shared" si="29"/>
        <v>15.134159553708876</v>
      </c>
      <c r="U60" s="366">
        <f t="shared" si="30"/>
        <v>15.363803388954672</v>
      </c>
    </row>
    <row r="61" spans="1:21" ht="15" customHeight="1" outlineLevel="1" x14ac:dyDescent="0.2">
      <c r="A61" s="1542" t="s">
        <v>10</v>
      </c>
      <c r="B61" s="379">
        <v>1</v>
      </c>
      <c r="C61" s="378">
        <v>2</v>
      </c>
      <c r="D61" s="378">
        <v>3</v>
      </c>
      <c r="E61" s="378">
        <v>4</v>
      </c>
      <c r="F61" s="377">
        <v>5</v>
      </c>
      <c r="G61" s="379">
        <v>1</v>
      </c>
      <c r="H61" s="378">
        <v>2</v>
      </c>
      <c r="I61" s="378">
        <v>3</v>
      </c>
      <c r="J61" s="378">
        <v>4</v>
      </c>
      <c r="K61" s="377">
        <v>5</v>
      </c>
      <c r="L61" s="379">
        <v>1</v>
      </c>
      <c r="M61" s="378">
        <v>2</v>
      </c>
      <c r="N61" s="378">
        <v>3</v>
      </c>
      <c r="O61" s="378">
        <v>4</v>
      </c>
      <c r="P61" s="377">
        <v>5</v>
      </c>
      <c r="Q61" s="379">
        <v>1</v>
      </c>
      <c r="R61" s="378">
        <v>2</v>
      </c>
      <c r="S61" s="378">
        <v>3</v>
      </c>
      <c r="T61" s="378">
        <v>4</v>
      </c>
      <c r="U61" s="377">
        <v>5</v>
      </c>
    </row>
    <row r="62" spans="1:21" ht="15" customHeight="1" outlineLevel="1" x14ac:dyDescent="0.2">
      <c r="A62" s="1543"/>
      <c r="B62" s="1532" t="s">
        <v>123</v>
      </c>
      <c r="C62" s="1533"/>
      <c r="D62" s="1533"/>
      <c r="E62" s="1533"/>
      <c r="F62" s="1534"/>
      <c r="G62" s="1532" t="s">
        <v>122</v>
      </c>
      <c r="H62" s="1533"/>
      <c r="I62" s="1533"/>
      <c r="J62" s="1533"/>
      <c r="K62" s="1534"/>
      <c r="L62" s="1532" t="s">
        <v>121</v>
      </c>
      <c r="M62" s="1533"/>
      <c r="N62" s="1533"/>
      <c r="O62" s="1533"/>
      <c r="P62" s="1534"/>
      <c r="Q62" s="1532" t="s">
        <v>120</v>
      </c>
      <c r="R62" s="1533"/>
      <c r="S62" s="1533"/>
      <c r="T62" s="1533"/>
      <c r="U62" s="1534"/>
    </row>
    <row r="63" spans="1:21" ht="15" customHeight="1" outlineLevel="1" x14ac:dyDescent="0.2">
      <c r="A63" s="373">
        <v>1</v>
      </c>
      <c r="B63" s="376" t="e">
        <f t="shared" ref="B63:B83" ca="1" si="36">G40-L40</f>
        <v>#NAME?</v>
      </c>
      <c r="C63" s="375" t="e">
        <f t="shared" ref="C63:C83" ca="1" si="37">H40-M40</f>
        <v>#NAME?</v>
      </c>
      <c r="D63" s="375" t="e">
        <f t="shared" ref="D63:D83" ca="1" si="38">I40-N40</f>
        <v>#NAME?</v>
      </c>
      <c r="E63" s="375" t="e">
        <f t="shared" ref="E63:E83" ca="1" si="39">J40-O40</f>
        <v>#NAME?</v>
      </c>
      <c r="F63" s="374" t="e">
        <f t="shared" ref="F63:F83" ca="1" si="40">K40-P40</f>
        <v>#NAME?</v>
      </c>
      <c r="G63" s="376" t="e">
        <f t="shared" ref="G63:G83" ca="1" si="41">G40+L40</f>
        <v>#NAME?</v>
      </c>
      <c r="H63" s="375" t="e">
        <f t="shared" ref="H63:H83" ca="1" si="42">H40+M40</f>
        <v>#NAME?</v>
      </c>
      <c r="I63" s="375" t="e">
        <f t="shared" ref="I63:I83" ca="1" si="43">I40+N40</f>
        <v>#NAME?</v>
      </c>
      <c r="J63" s="375" t="e">
        <f t="shared" ref="J63:J83" ca="1" si="44">J40+O40</f>
        <v>#NAME?</v>
      </c>
      <c r="K63" s="374" t="e">
        <f t="shared" ref="K63:K83" ca="1" si="45">K40+P40</f>
        <v>#NAME?</v>
      </c>
      <c r="L63" s="376" t="e">
        <f t="shared" ref="L63:L83" ca="1" si="46">G40-Q40</f>
        <v>#NAME?</v>
      </c>
      <c r="M63" s="375" t="e">
        <f t="shared" ref="M63:M83" ca="1" si="47">H40-R40</f>
        <v>#NAME?</v>
      </c>
      <c r="N63" s="375" t="e">
        <f t="shared" ref="N63:N83" ca="1" si="48">I40-S40</f>
        <v>#NAME?</v>
      </c>
      <c r="O63" s="375" t="e">
        <f t="shared" ref="O63:O83" ca="1" si="49">J40-T40</f>
        <v>#NAME?</v>
      </c>
      <c r="P63" s="374" t="e">
        <f t="shared" ref="P63:P83" ca="1" si="50">K40-U40</f>
        <v>#NAME?</v>
      </c>
      <c r="Q63" s="376" t="e">
        <f t="shared" ref="Q63:Q83" ca="1" si="51">G40+Q40</f>
        <v>#NAME?</v>
      </c>
      <c r="R63" s="375" t="e">
        <f t="shared" ref="R63:R83" ca="1" si="52">H40+R40</f>
        <v>#NAME?</v>
      </c>
      <c r="S63" s="375" t="e">
        <f t="shared" ref="S63:S83" ca="1" si="53">I40+S40</f>
        <v>#NAME?</v>
      </c>
      <c r="T63" s="375" t="e">
        <f t="shared" ref="T63:T83" ca="1" si="54">J40+T40</f>
        <v>#NAME?</v>
      </c>
      <c r="U63" s="374" t="e">
        <f t="shared" ref="U63:U83" ca="1" si="55">K40+U40</f>
        <v>#NAME?</v>
      </c>
    </row>
    <row r="64" spans="1:21" ht="15" customHeight="1" outlineLevel="1" x14ac:dyDescent="0.2">
      <c r="A64" s="373">
        <v>2</v>
      </c>
      <c r="B64" s="372" t="e">
        <f t="shared" ca="1" si="36"/>
        <v>#NAME?</v>
      </c>
      <c r="C64" s="371" t="e">
        <f t="shared" ca="1" si="37"/>
        <v>#NAME?</v>
      </c>
      <c r="D64" s="371" t="e">
        <f t="shared" ca="1" si="38"/>
        <v>#NAME?</v>
      </c>
      <c r="E64" s="371" t="e">
        <f t="shared" ca="1" si="39"/>
        <v>#NAME?</v>
      </c>
      <c r="F64" s="370" t="e">
        <f t="shared" ca="1" si="40"/>
        <v>#NAME?</v>
      </c>
      <c r="G64" s="372" t="e">
        <f t="shared" ca="1" si="41"/>
        <v>#NAME?</v>
      </c>
      <c r="H64" s="371" t="e">
        <f t="shared" ca="1" si="42"/>
        <v>#NAME?</v>
      </c>
      <c r="I64" s="371" t="e">
        <f t="shared" ca="1" si="43"/>
        <v>#NAME?</v>
      </c>
      <c r="J64" s="371" t="e">
        <f t="shared" ca="1" si="44"/>
        <v>#NAME?</v>
      </c>
      <c r="K64" s="370" t="e">
        <f t="shared" ca="1" si="45"/>
        <v>#NAME?</v>
      </c>
      <c r="L64" s="372" t="e">
        <f t="shared" ca="1" si="46"/>
        <v>#NAME?</v>
      </c>
      <c r="M64" s="371" t="e">
        <f t="shared" ca="1" si="47"/>
        <v>#NAME?</v>
      </c>
      <c r="N64" s="371" t="e">
        <f t="shared" ca="1" si="48"/>
        <v>#NAME?</v>
      </c>
      <c r="O64" s="371" t="e">
        <f t="shared" ca="1" si="49"/>
        <v>#NAME?</v>
      </c>
      <c r="P64" s="370" t="e">
        <f t="shared" ca="1" si="50"/>
        <v>#NAME?</v>
      </c>
      <c r="Q64" s="372" t="e">
        <f t="shared" ca="1" si="51"/>
        <v>#NAME?</v>
      </c>
      <c r="R64" s="371" t="e">
        <f t="shared" ca="1" si="52"/>
        <v>#NAME?</v>
      </c>
      <c r="S64" s="371" t="e">
        <f t="shared" ca="1" si="53"/>
        <v>#NAME?</v>
      </c>
      <c r="T64" s="371" t="e">
        <f t="shared" ca="1" si="54"/>
        <v>#NAME?</v>
      </c>
      <c r="U64" s="370" t="e">
        <f t="shared" ca="1" si="55"/>
        <v>#NAME?</v>
      </c>
    </row>
    <row r="65" spans="1:21" ht="15" customHeight="1" outlineLevel="1" x14ac:dyDescent="0.2">
      <c r="A65" s="373">
        <v>3</v>
      </c>
      <c r="B65" s="372" t="e">
        <f t="shared" ca="1" si="36"/>
        <v>#NAME?</v>
      </c>
      <c r="C65" s="371" t="e">
        <f t="shared" ca="1" si="37"/>
        <v>#NAME?</v>
      </c>
      <c r="D65" s="371" t="e">
        <f t="shared" ca="1" si="38"/>
        <v>#NAME?</v>
      </c>
      <c r="E65" s="371" t="e">
        <f t="shared" ca="1" si="39"/>
        <v>#NAME?</v>
      </c>
      <c r="F65" s="370" t="e">
        <f t="shared" ca="1" si="40"/>
        <v>#NAME?</v>
      </c>
      <c r="G65" s="372" t="e">
        <f t="shared" ca="1" si="41"/>
        <v>#NAME?</v>
      </c>
      <c r="H65" s="371" t="e">
        <f t="shared" ca="1" si="42"/>
        <v>#NAME?</v>
      </c>
      <c r="I65" s="371" t="e">
        <f t="shared" ca="1" si="43"/>
        <v>#NAME?</v>
      </c>
      <c r="J65" s="371" t="e">
        <f t="shared" ca="1" si="44"/>
        <v>#NAME?</v>
      </c>
      <c r="K65" s="370" t="e">
        <f t="shared" ca="1" si="45"/>
        <v>#NAME?</v>
      </c>
      <c r="L65" s="372" t="e">
        <f t="shared" ca="1" si="46"/>
        <v>#NAME?</v>
      </c>
      <c r="M65" s="371" t="e">
        <f t="shared" ca="1" si="47"/>
        <v>#NAME?</v>
      </c>
      <c r="N65" s="371" t="e">
        <f t="shared" ca="1" si="48"/>
        <v>#NAME?</v>
      </c>
      <c r="O65" s="371" t="e">
        <f t="shared" ca="1" si="49"/>
        <v>#NAME?</v>
      </c>
      <c r="P65" s="370" t="e">
        <f t="shared" ca="1" si="50"/>
        <v>#NAME?</v>
      </c>
      <c r="Q65" s="372" t="e">
        <f t="shared" ca="1" si="51"/>
        <v>#NAME?</v>
      </c>
      <c r="R65" s="371" t="e">
        <f t="shared" ca="1" si="52"/>
        <v>#NAME?</v>
      </c>
      <c r="S65" s="371" t="e">
        <f t="shared" ca="1" si="53"/>
        <v>#NAME?</v>
      </c>
      <c r="T65" s="371" t="e">
        <f t="shared" ca="1" si="54"/>
        <v>#NAME?</v>
      </c>
      <c r="U65" s="370" t="e">
        <f t="shared" ca="1" si="55"/>
        <v>#NAME?</v>
      </c>
    </row>
    <row r="66" spans="1:21" ht="15" customHeight="1" outlineLevel="1" x14ac:dyDescent="0.2">
      <c r="A66" s="373">
        <v>4</v>
      </c>
      <c r="B66" s="372" t="e">
        <f t="shared" ca="1" si="36"/>
        <v>#NAME?</v>
      </c>
      <c r="C66" s="371" t="e">
        <f t="shared" ca="1" si="37"/>
        <v>#NAME?</v>
      </c>
      <c r="D66" s="371" t="e">
        <f t="shared" ca="1" si="38"/>
        <v>#NAME?</v>
      </c>
      <c r="E66" s="371" t="e">
        <f t="shared" ca="1" si="39"/>
        <v>#NAME?</v>
      </c>
      <c r="F66" s="370" t="e">
        <f t="shared" ca="1" si="40"/>
        <v>#NAME?</v>
      </c>
      <c r="G66" s="372" t="e">
        <f t="shared" ca="1" si="41"/>
        <v>#NAME?</v>
      </c>
      <c r="H66" s="371" t="e">
        <f t="shared" ca="1" si="42"/>
        <v>#NAME?</v>
      </c>
      <c r="I66" s="371" t="e">
        <f t="shared" ca="1" si="43"/>
        <v>#NAME?</v>
      </c>
      <c r="J66" s="371" t="e">
        <f t="shared" ca="1" si="44"/>
        <v>#NAME?</v>
      </c>
      <c r="K66" s="370" t="e">
        <f t="shared" ca="1" si="45"/>
        <v>#NAME?</v>
      </c>
      <c r="L66" s="372" t="e">
        <f t="shared" ca="1" si="46"/>
        <v>#NAME?</v>
      </c>
      <c r="M66" s="371" t="e">
        <f t="shared" ca="1" si="47"/>
        <v>#NAME?</v>
      </c>
      <c r="N66" s="371" t="e">
        <f t="shared" ca="1" si="48"/>
        <v>#NAME?</v>
      </c>
      <c r="O66" s="371" t="e">
        <f t="shared" ca="1" si="49"/>
        <v>#NAME?</v>
      </c>
      <c r="P66" s="370" t="e">
        <f t="shared" ca="1" si="50"/>
        <v>#NAME?</v>
      </c>
      <c r="Q66" s="372" t="e">
        <f t="shared" ca="1" si="51"/>
        <v>#NAME?</v>
      </c>
      <c r="R66" s="371" t="e">
        <f t="shared" ca="1" si="52"/>
        <v>#NAME?</v>
      </c>
      <c r="S66" s="371" t="e">
        <f t="shared" ca="1" si="53"/>
        <v>#NAME?</v>
      </c>
      <c r="T66" s="371" t="e">
        <f t="shared" ca="1" si="54"/>
        <v>#NAME?</v>
      </c>
      <c r="U66" s="370" t="e">
        <f t="shared" ca="1" si="55"/>
        <v>#NAME?</v>
      </c>
    </row>
    <row r="67" spans="1:21" ht="15" customHeight="1" outlineLevel="1" x14ac:dyDescent="0.2">
      <c r="A67" s="373">
        <v>5</v>
      </c>
      <c r="B67" s="372" t="e">
        <f t="shared" ca="1" si="36"/>
        <v>#NAME?</v>
      </c>
      <c r="C67" s="371" t="e">
        <f t="shared" ca="1" si="37"/>
        <v>#NAME?</v>
      </c>
      <c r="D67" s="371" t="e">
        <f t="shared" ca="1" si="38"/>
        <v>#NAME?</v>
      </c>
      <c r="E67" s="371" t="e">
        <f t="shared" ca="1" si="39"/>
        <v>#NAME?</v>
      </c>
      <c r="F67" s="370" t="e">
        <f t="shared" ca="1" si="40"/>
        <v>#NAME?</v>
      </c>
      <c r="G67" s="372" t="e">
        <f t="shared" ca="1" si="41"/>
        <v>#NAME?</v>
      </c>
      <c r="H67" s="371" t="e">
        <f t="shared" ca="1" si="42"/>
        <v>#NAME?</v>
      </c>
      <c r="I67" s="371" t="e">
        <f t="shared" ca="1" si="43"/>
        <v>#NAME?</v>
      </c>
      <c r="J67" s="371" t="e">
        <f t="shared" ca="1" si="44"/>
        <v>#NAME?</v>
      </c>
      <c r="K67" s="370" t="e">
        <f t="shared" ca="1" si="45"/>
        <v>#NAME?</v>
      </c>
      <c r="L67" s="372" t="e">
        <f t="shared" ca="1" si="46"/>
        <v>#NAME?</v>
      </c>
      <c r="M67" s="371" t="e">
        <f t="shared" ca="1" si="47"/>
        <v>#NAME?</v>
      </c>
      <c r="N67" s="371" t="e">
        <f t="shared" ca="1" si="48"/>
        <v>#NAME?</v>
      </c>
      <c r="O67" s="371" t="e">
        <f t="shared" ca="1" si="49"/>
        <v>#NAME?</v>
      </c>
      <c r="P67" s="370" t="e">
        <f t="shared" ca="1" si="50"/>
        <v>#NAME?</v>
      </c>
      <c r="Q67" s="372" t="e">
        <f t="shared" ca="1" si="51"/>
        <v>#NAME?</v>
      </c>
      <c r="R67" s="371" t="e">
        <f t="shared" ca="1" si="52"/>
        <v>#NAME?</v>
      </c>
      <c r="S67" s="371" t="e">
        <f t="shared" ca="1" si="53"/>
        <v>#NAME?</v>
      </c>
      <c r="T67" s="371" t="e">
        <f t="shared" ca="1" si="54"/>
        <v>#NAME?</v>
      </c>
      <c r="U67" s="370" t="e">
        <f t="shared" ca="1" si="55"/>
        <v>#NAME?</v>
      </c>
    </row>
    <row r="68" spans="1:21" ht="15" customHeight="1" outlineLevel="1" x14ac:dyDescent="0.2">
      <c r="A68" s="373">
        <v>6</v>
      </c>
      <c r="B68" s="372" t="e">
        <f t="shared" ca="1" si="36"/>
        <v>#NAME?</v>
      </c>
      <c r="C68" s="371" t="e">
        <f t="shared" ca="1" si="37"/>
        <v>#NAME?</v>
      </c>
      <c r="D68" s="371" t="e">
        <f t="shared" ca="1" si="38"/>
        <v>#NAME?</v>
      </c>
      <c r="E68" s="371" t="e">
        <f t="shared" ca="1" si="39"/>
        <v>#NAME?</v>
      </c>
      <c r="F68" s="370" t="e">
        <f t="shared" ca="1" si="40"/>
        <v>#NAME?</v>
      </c>
      <c r="G68" s="372" t="e">
        <f t="shared" ca="1" si="41"/>
        <v>#NAME?</v>
      </c>
      <c r="H68" s="371" t="e">
        <f t="shared" ca="1" si="42"/>
        <v>#NAME?</v>
      </c>
      <c r="I68" s="371" t="e">
        <f t="shared" ca="1" si="43"/>
        <v>#NAME?</v>
      </c>
      <c r="J68" s="371" t="e">
        <f t="shared" ca="1" si="44"/>
        <v>#NAME?</v>
      </c>
      <c r="K68" s="370" t="e">
        <f t="shared" ca="1" si="45"/>
        <v>#NAME?</v>
      </c>
      <c r="L68" s="372" t="e">
        <f t="shared" ca="1" si="46"/>
        <v>#NAME?</v>
      </c>
      <c r="M68" s="371" t="e">
        <f t="shared" ca="1" si="47"/>
        <v>#NAME?</v>
      </c>
      <c r="N68" s="371" t="e">
        <f t="shared" ca="1" si="48"/>
        <v>#NAME?</v>
      </c>
      <c r="O68" s="371" t="e">
        <f t="shared" ca="1" si="49"/>
        <v>#NAME?</v>
      </c>
      <c r="P68" s="370" t="e">
        <f t="shared" ca="1" si="50"/>
        <v>#NAME?</v>
      </c>
      <c r="Q68" s="372" t="e">
        <f t="shared" ca="1" si="51"/>
        <v>#NAME?</v>
      </c>
      <c r="R68" s="371" t="e">
        <f t="shared" ca="1" si="52"/>
        <v>#NAME?</v>
      </c>
      <c r="S68" s="371" t="e">
        <f t="shared" ca="1" si="53"/>
        <v>#NAME?</v>
      </c>
      <c r="T68" s="371" t="e">
        <f t="shared" ca="1" si="54"/>
        <v>#NAME?</v>
      </c>
      <c r="U68" s="370" t="e">
        <f t="shared" ca="1" si="55"/>
        <v>#NAME?</v>
      </c>
    </row>
    <row r="69" spans="1:21" ht="15" customHeight="1" outlineLevel="1" x14ac:dyDescent="0.2">
      <c r="A69" s="373">
        <v>7</v>
      </c>
      <c r="B69" s="372" t="e">
        <f t="shared" ca="1" si="36"/>
        <v>#NAME?</v>
      </c>
      <c r="C69" s="371" t="e">
        <f t="shared" ca="1" si="37"/>
        <v>#NAME?</v>
      </c>
      <c r="D69" s="371" t="e">
        <f t="shared" ca="1" si="38"/>
        <v>#NAME?</v>
      </c>
      <c r="E69" s="371" t="e">
        <f t="shared" ca="1" si="39"/>
        <v>#NAME?</v>
      </c>
      <c r="F69" s="370" t="e">
        <f t="shared" ca="1" si="40"/>
        <v>#NAME?</v>
      </c>
      <c r="G69" s="372" t="e">
        <f t="shared" ca="1" si="41"/>
        <v>#NAME?</v>
      </c>
      <c r="H69" s="371" t="e">
        <f t="shared" ca="1" si="42"/>
        <v>#NAME?</v>
      </c>
      <c r="I69" s="371" t="e">
        <f t="shared" ca="1" si="43"/>
        <v>#NAME?</v>
      </c>
      <c r="J69" s="371" t="e">
        <f t="shared" ca="1" si="44"/>
        <v>#NAME?</v>
      </c>
      <c r="K69" s="370" t="e">
        <f t="shared" ca="1" si="45"/>
        <v>#NAME?</v>
      </c>
      <c r="L69" s="372" t="e">
        <f t="shared" ca="1" si="46"/>
        <v>#NAME?</v>
      </c>
      <c r="M69" s="371" t="e">
        <f t="shared" ca="1" si="47"/>
        <v>#NAME?</v>
      </c>
      <c r="N69" s="371" t="e">
        <f t="shared" ca="1" si="48"/>
        <v>#NAME?</v>
      </c>
      <c r="O69" s="371" t="e">
        <f t="shared" ca="1" si="49"/>
        <v>#NAME?</v>
      </c>
      <c r="P69" s="370" t="e">
        <f t="shared" ca="1" si="50"/>
        <v>#NAME?</v>
      </c>
      <c r="Q69" s="372" t="e">
        <f t="shared" ca="1" si="51"/>
        <v>#NAME?</v>
      </c>
      <c r="R69" s="371" t="e">
        <f t="shared" ca="1" si="52"/>
        <v>#NAME?</v>
      </c>
      <c r="S69" s="371" t="e">
        <f t="shared" ca="1" si="53"/>
        <v>#NAME?</v>
      </c>
      <c r="T69" s="371" t="e">
        <f t="shared" ca="1" si="54"/>
        <v>#NAME?</v>
      </c>
      <c r="U69" s="370" t="e">
        <f t="shared" ca="1" si="55"/>
        <v>#NAME?</v>
      </c>
    </row>
    <row r="70" spans="1:21" ht="15" customHeight="1" x14ac:dyDescent="0.2">
      <c r="A70" s="373">
        <v>8</v>
      </c>
      <c r="B70" s="372" t="e">
        <f t="shared" ca="1" si="36"/>
        <v>#NAME?</v>
      </c>
      <c r="C70" s="371" t="e">
        <f t="shared" ca="1" si="37"/>
        <v>#NAME?</v>
      </c>
      <c r="D70" s="371" t="e">
        <f t="shared" ca="1" si="38"/>
        <v>#NAME?</v>
      </c>
      <c r="E70" s="371" t="e">
        <f t="shared" ca="1" si="39"/>
        <v>#NAME?</v>
      </c>
      <c r="F70" s="370" t="e">
        <f t="shared" ca="1" si="40"/>
        <v>#NAME?</v>
      </c>
      <c r="G70" s="372" t="e">
        <f t="shared" ca="1" si="41"/>
        <v>#NAME?</v>
      </c>
      <c r="H70" s="371" t="e">
        <f t="shared" ca="1" si="42"/>
        <v>#NAME?</v>
      </c>
      <c r="I70" s="371" t="e">
        <f t="shared" ca="1" si="43"/>
        <v>#NAME?</v>
      </c>
      <c r="J70" s="371" t="e">
        <f t="shared" ca="1" si="44"/>
        <v>#NAME?</v>
      </c>
      <c r="K70" s="370" t="e">
        <f t="shared" ca="1" si="45"/>
        <v>#NAME?</v>
      </c>
      <c r="L70" s="372" t="e">
        <f t="shared" ca="1" si="46"/>
        <v>#NAME?</v>
      </c>
      <c r="M70" s="371" t="e">
        <f t="shared" ca="1" si="47"/>
        <v>#NAME?</v>
      </c>
      <c r="N70" s="371" t="e">
        <f t="shared" ca="1" si="48"/>
        <v>#NAME?</v>
      </c>
      <c r="O70" s="371" t="e">
        <f t="shared" ca="1" si="49"/>
        <v>#NAME?</v>
      </c>
      <c r="P70" s="370" t="e">
        <f t="shared" ca="1" si="50"/>
        <v>#NAME?</v>
      </c>
      <c r="Q70" s="372" t="e">
        <f t="shared" ca="1" si="51"/>
        <v>#NAME?</v>
      </c>
      <c r="R70" s="371" t="e">
        <f t="shared" ca="1" si="52"/>
        <v>#NAME?</v>
      </c>
      <c r="S70" s="371" t="e">
        <f t="shared" ca="1" si="53"/>
        <v>#NAME?</v>
      </c>
      <c r="T70" s="371" t="e">
        <f t="shared" ca="1" si="54"/>
        <v>#NAME?</v>
      </c>
      <c r="U70" s="370" t="e">
        <f t="shared" ca="1" si="55"/>
        <v>#NAME?</v>
      </c>
    </row>
    <row r="71" spans="1:21" ht="15" customHeight="1" x14ac:dyDescent="0.2">
      <c r="A71" s="373">
        <v>9</v>
      </c>
      <c r="B71" s="372" t="e">
        <f t="shared" ca="1" si="36"/>
        <v>#NAME?</v>
      </c>
      <c r="C71" s="371" t="e">
        <f t="shared" ca="1" si="37"/>
        <v>#NAME?</v>
      </c>
      <c r="D71" s="371" t="e">
        <f t="shared" ca="1" si="38"/>
        <v>#NAME?</v>
      </c>
      <c r="E71" s="371" t="e">
        <f t="shared" ca="1" si="39"/>
        <v>#NAME?</v>
      </c>
      <c r="F71" s="370" t="e">
        <f t="shared" ca="1" si="40"/>
        <v>#NAME?</v>
      </c>
      <c r="G71" s="372" t="e">
        <f t="shared" ca="1" si="41"/>
        <v>#NAME?</v>
      </c>
      <c r="H71" s="371" t="e">
        <f t="shared" ca="1" si="42"/>
        <v>#NAME?</v>
      </c>
      <c r="I71" s="371" t="e">
        <f t="shared" ca="1" si="43"/>
        <v>#NAME?</v>
      </c>
      <c r="J71" s="371" t="e">
        <f t="shared" ca="1" si="44"/>
        <v>#NAME?</v>
      </c>
      <c r="K71" s="370" t="e">
        <f t="shared" ca="1" si="45"/>
        <v>#NAME?</v>
      </c>
      <c r="L71" s="372" t="e">
        <f t="shared" ca="1" si="46"/>
        <v>#NAME?</v>
      </c>
      <c r="M71" s="371" t="e">
        <f t="shared" ca="1" si="47"/>
        <v>#NAME?</v>
      </c>
      <c r="N71" s="371" t="e">
        <f t="shared" ca="1" si="48"/>
        <v>#NAME?</v>
      </c>
      <c r="O71" s="371" t="e">
        <f t="shared" ca="1" si="49"/>
        <v>#NAME?</v>
      </c>
      <c r="P71" s="370" t="e">
        <f t="shared" ca="1" si="50"/>
        <v>#NAME?</v>
      </c>
      <c r="Q71" s="372" t="e">
        <f t="shared" ca="1" si="51"/>
        <v>#NAME?</v>
      </c>
      <c r="R71" s="371" t="e">
        <f t="shared" ca="1" si="52"/>
        <v>#NAME?</v>
      </c>
      <c r="S71" s="371" t="e">
        <f t="shared" ca="1" si="53"/>
        <v>#NAME?</v>
      </c>
      <c r="T71" s="371" t="e">
        <f t="shared" ca="1" si="54"/>
        <v>#NAME?</v>
      </c>
      <c r="U71" s="370" t="e">
        <f t="shared" ca="1" si="55"/>
        <v>#NAME?</v>
      </c>
    </row>
    <row r="72" spans="1:21" ht="15" customHeight="1" x14ac:dyDescent="0.2">
      <c r="A72" s="373">
        <v>10</v>
      </c>
      <c r="B72" s="372" t="e">
        <f t="shared" ca="1" si="36"/>
        <v>#NAME?</v>
      </c>
      <c r="C72" s="371" t="e">
        <f t="shared" ca="1" si="37"/>
        <v>#NAME?</v>
      </c>
      <c r="D72" s="371" t="e">
        <f t="shared" ca="1" si="38"/>
        <v>#NAME?</v>
      </c>
      <c r="E72" s="371" t="e">
        <f t="shared" ca="1" si="39"/>
        <v>#NAME?</v>
      </c>
      <c r="F72" s="370" t="e">
        <f t="shared" ca="1" si="40"/>
        <v>#NAME?</v>
      </c>
      <c r="G72" s="372" t="e">
        <f t="shared" ca="1" si="41"/>
        <v>#NAME?</v>
      </c>
      <c r="H72" s="371" t="e">
        <f t="shared" ca="1" si="42"/>
        <v>#NAME?</v>
      </c>
      <c r="I72" s="371" t="e">
        <f t="shared" ca="1" si="43"/>
        <v>#NAME?</v>
      </c>
      <c r="J72" s="371" t="e">
        <f t="shared" ca="1" si="44"/>
        <v>#NAME?</v>
      </c>
      <c r="K72" s="370" t="e">
        <f t="shared" ca="1" si="45"/>
        <v>#NAME?</v>
      </c>
      <c r="L72" s="372" t="e">
        <f t="shared" ca="1" si="46"/>
        <v>#NAME?</v>
      </c>
      <c r="M72" s="371" t="e">
        <f t="shared" ca="1" si="47"/>
        <v>#NAME?</v>
      </c>
      <c r="N72" s="371" t="e">
        <f t="shared" ca="1" si="48"/>
        <v>#NAME?</v>
      </c>
      <c r="O72" s="371" t="e">
        <f t="shared" ca="1" si="49"/>
        <v>#NAME?</v>
      </c>
      <c r="P72" s="370" t="e">
        <f t="shared" ca="1" si="50"/>
        <v>#NAME?</v>
      </c>
      <c r="Q72" s="372" t="e">
        <f t="shared" ca="1" si="51"/>
        <v>#NAME?</v>
      </c>
      <c r="R72" s="371" t="e">
        <f t="shared" ca="1" si="52"/>
        <v>#NAME?</v>
      </c>
      <c r="S72" s="371" t="e">
        <f t="shared" ca="1" si="53"/>
        <v>#NAME?</v>
      </c>
      <c r="T72" s="371" t="e">
        <f t="shared" ca="1" si="54"/>
        <v>#NAME?</v>
      </c>
      <c r="U72" s="370" t="e">
        <f t="shared" ca="1" si="55"/>
        <v>#NAME?</v>
      </c>
    </row>
    <row r="73" spans="1:21" ht="15" customHeight="1" x14ac:dyDescent="0.2">
      <c r="A73" s="373">
        <v>11</v>
      </c>
      <c r="B73" s="372" t="e">
        <f t="shared" ca="1" si="36"/>
        <v>#NAME?</v>
      </c>
      <c r="C73" s="371" t="e">
        <f t="shared" ca="1" si="37"/>
        <v>#NAME?</v>
      </c>
      <c r="D73" s="371" t="e">
        <f t="shared" ca="1" si="38"/>
        <v>#NAME?</v>
      </c>
      <c r="E73" s="371" t="e">
        <f t="shared" ca="1" si="39"/>
        <v>#NAME?</v>
      </c>
      <c r="F73" s="370" t="e">
        <f t="shared" ca="1" si="40"/>
        <v>#NAME?</v>
      </c>
      <c r="G73" s="372" t="e">
        <f t="shared" ca="1" si="41"/>
        <v>#NAME?</v>
      </c>
      <c r="H73" s="371" t="e">
        <f t="shared" ca="1" si="42"/>
        <v>#NAME?</v>
      </c>
      <c r="I73" s="371" t="e">
        <f t="shared" ca="1" si="43"/>
        <v>#NAME?</v>
      </c>
      <c r="J73" s="371" t="e">
        <f t="shared" ca="1" si="44"/>
        <v>#NAME?</v>
      </c>
      <c r="K73" s="370" t="e">
        <f t="shared" ca="1" si="45"/>
        <v>#NAME?</v>
      </c>
      <c r="L73" s="372" t="e">
        <f t="shared" ca="1" si="46"/>
        <v>#NAME?</v>
      </c>
      <c r="M73" s="371" t="e">
        <f t="shared" ca="1" si="47"/>
        <v>#NAME?</v>
      </c>
      <c r="N73" s="371" t="e">
        <f t="shared" ca="1" si="48"/>
        <v>#NAME?</v>
      </c>
      <c r="O73" s="371" t="e">
        <f t="shared" ca="1" si="49"/>
        <v>#NAME?</v>
      </c>
      <c r="P73" s="370" t="e">
        <f t="shared" ca="1" si="50"/>
        <v>#NAME?</v>
      </c>
      <c r="Q73" s="372" t="e">
        <f t="shared" ca="1" si="51"/>
        <v>#NAME?</v>
      </c>
      <c r="R73" s="371" t="e">
        <f t="shared" ca="1" si="52"/>
        <v>#NAME?</v>
      </c>
      <c r="S73" s="371" t="e">
        <f t="shared" ca="1" si="53"/>
        <v>#NAME?</v>
      </c>
      <c r="T73" s="371" t="e">
        <f t="shared" ca="1" si="54"/>
        <v>#NAME?</v>
      </c>
      <c r="U73" s="370" t="e">
        <f t="shared" ca="1" si="55"/>
        <v>#NAME?</v>
      </c>
    </row>
    <row r="74" spans="1:21" ht="15" customHeight="1" x14ac:dyDescent="0.2">
      <c r="A74" s="373">
        <v>12</v>
      </c>
      <c r="B74" s="372" t="e">
        <f t="shared" ca="1" si="36"/>
        <v>#NAME?</v>
      </c>
      <c r="C74" s="371" t="e">
        <f t="shared" ca="1" si="37"/>
        <v>#NAME?</v>
      </c>
      <c r="D74" s="371" t="e">
        <f t="shared" ca="1" si="38"/>
        <v>#NAME?</v>
      </c>
      <c r="E74" s="371" t="e">
        <f t="shared" ca="1" si="39"/>
        <v>#NAME?</v>
      </c>
      <c r="F74" s="370" t="e">
        <f t="shared" ca="1" si="40"/>
        <v>#NAME?</v>
      </c>
      <c r="G74" s="372" t="e">
        <f t="shared" ca="1" si="41"/>
        <v>#NAME?</v>
      </c>
      <c r="H74" s="371" t="e">
        <f t="shared" ca="1" si="42"/>
        <v>#NAME?</v>
      </c>
      <c r="I74" s="371" t="e">
        <f t="shared" ca="1" si="43"/>
        <v>#NAME?</v>
      </c>
      <c r="J74" s="371" t="e">
        <f t="shared" ca="1" si="44"/>
        <v>#NAME?</v>
      </c>
      <c r="K74" s="370" t="e">
        <f t="shared" ca="1" si="45"/>
        <v>#NAME?</v>
      </c>
      <c r="L74" s="372" t="e">
        <f t="shared" ca="1" si="46"/>
        <v>#NAME?</v>
      </c>
      <c r="M74" s="371" t="e">
        <f t="shared" ca="1" si="47"/>
        <v>#NAME?</v>
      </c>
      <c r="N74" s="371" t="e">
        <f t="shared" ca="1" si="48"/>
        <v>#NAME?</v>
      </c>
      <c r="O74" s="371" t="e">
        <f t="shared" ca="1" si="49"/>
        <v>#NAME?</v>
      </c>
      <c r="P74" s="370" t="e">
        <f t="shared" ca="1" si="50"/>
        <v>#NAME?</v>
      </c>
      <c r="Q74" s="372" t="e">
        <f t="shared" ca="1" si="51"/>
        <v>#NAME?</v>
      </c>
      <c r="R74" s="371" t="e">
        <f t="shared" ca="1" si="52"/>
        <v>#NAME?</v>
      </c>
      <c r="S74" s="371" t="e">
        <f t="shared" ca="1" si="53"/>
        <v>#NAME?</v>
      </c>
      <c r="T74" s="371" t="e">
        <f t="shared" ca="1" si="54"/>
        <v>#NAME?</v>
      </c>
      <c r="U74" s="370" t="e">
        <f t="shared" ca="1" si="55"/>
        <v>#NAME?</v>
      </c>
    </row>
    <row r="75" spans="1:21" ht="15" customHeight="1" x14ac:dyDescent="0.2">
      <c r="A75" s="373">
        <v>13</v>
      </c>
      <c r="B75" s="372" t="e">
        <f t="shared" ca="1" si="36"/>
        <v>#NAME?</v>
      </c>
      <c r="C75" s="371" t="e">
        <f t="shared" ca="1" si="37"/>
        <v>#NAME?</v>
      </c>
      <c r="D75" s="371" t="e">
        <f t="shared" ca="1" si="38"/>
        <v>#NAME?</v>
      </c>
      <c r="E75" s="371" t="e">
        <f t="shared" ca="1" si="39"/>
        <v>#NAME?</v>
      </c>
      <c r="F75" s="370" t="e">
        <f t="shared" ca="1" si="40"/>
        <v>#NAME?</v>
      </c>
      <c r="G75" s="372" t="e">
        <f t="shared" ca="1" si="41"/>
        <v>#NAME?</v>
      </c>
      <c r="H75" s="371" t="e">
        <f t="shared" ca="1" si="42"/>
        <v>#NAME?</v>
      </c>
      <c r="I75" s="371" t="e">
        <f t="shared" ca="1" si="43"/>
        <v>#NAME?</v>
      </c>
      <c r="J75" s="371" t="e">
        <f t="shared" ca="1" si="44"/>
        <v>#NAME?</v>
      </c>
      <c r="K75" s="370" t="e">
        <f t="shared" ca="1" si="45"/>
        <v>#NAME?</v>
      </c>
      <c r="L75" s="372" t="e">
        <f t="shared" ca="1" si="46"/>
        <v>#NAME?</v>
      </c>
      <c r="M75" s="371" t="e">
        <f t="shared" ca="1" si="47"/>
        <v>#NAME?</v>
      </c>
      <c r="N75" s="371" t="e">
        <f t="shared" ca="1" si="48"/>
        <v>#NAME?</v>
      </c>
      <c r="O75" s="371" t="e">
        <f t="shared" ca="1" si="49"/>
        <v>#NAME?</v>
      </c>
      <c r="P75" s="370" t="e">
        <f t="shared" ca="1" si="50"/>
        <v>#NAME?</v>
      </c>
      <c r="Q75" s="372" t="e">
        <f t="shared" ca="1" si="51"/>
        <v>#NAME?</v>
      </c>
      <c r="R75" s="371" t="e">
        <f t="shared" ca="1" si="52"/>
        <v>#NAME?</v>
      </c>
      <c r="S75" s="371" t="e">
        <f t="shared" ca="1" si="53"/>
        <v>#NAME?</v>
      </c>
      <c r="T75" s="371" t="e">
        <f t="shared" ca="1" si="54"/>
        <v>#NAME?</v>
      </c>
      <c r="U75" s="370" t="e">
        <f t="shared" ca="1" si="55"/>
        <v>#NAME?</v>
      </c>
    </row>
    <row r="76" spans="1:21" ht="15" customHeight="1" x14ac:dyDescent="0.2">
      <c r="A76" s="373">
        <v>14</v>
      </c>
      <c r="B76" s="372" t="e">
        <f t="shared" ca="1" si="36"/>
        <v>#NAME?</v>
      </c>
      <c r="C76" s="371" t="e">
        <f t="shared" ca="1" si="37"/>
        <v>#NAME?</v>
      </c>
      <c r="D76" s="371" t="e">
        <f t="shared" ca="1" si="38"/>
        <v>#NAME?</v>
      </c>
      <c r="E76" s="371" t="e">
        <f t="shared" ca="1" si="39"/>
        <v>#NAME?</v>
      </c>
      <c r="F76" s="370" t="e">
        <f t="shared" ca="1" si="40"/>
        <v>#NAME?</v>
      </c>
      <c r="G76" s="372" t="e">
        <f t="shared" ca="1" si="41"/>
        <v>#NAME?</v>
      </c>
      <c r="H76" s="371" t="e">
        <f t="shared" ca="1" si="42"/>
        <v>#NAME?</v>
      </c>
      <c r="I76" s="371" t="e">
        <f t="shared" ca="1" si="43"/>
        <v>#NAME?</v>
      </c>
      <c r="J76" s="371" t="e">
        <f t="shared" ca="1" si="44"/>
        <v>#NAME?</v>
      </c>
      <c r="K76" s="370" t="e">
        <f t="shared" ca="1" si="45"/>
        <v>#NAME?</v>
      </c>
      <c r="L76" s="372" t="e">
        <f t="shared" ca="1" si="46"/>
        <v>#NAME?</v>
      </c>
      <c r="M76" s="371" t="e">
        <f t="shared" ca="1" si="47"/>
        <v>#NAME?</v>
      </c>
      <c r="N76" s="371" t="e">
        <f t="shared" ca="1" si="48"/>
        <v>#NAME?</v>
      </c>
      <c r="O76" s="371" t="e">
        <f t="shared" ca="1" si="49"/>
        <v>#NAME?</v>
      </c>
      <c r="P76" s="370" t="e">
        <f t="shared" ca="1" si="50"/>
        <v>#NAME?</v>
      </c>
      <c r="Q76" s="372" t="e">
        <f t="shared" ca="1" si="51"/>
        <v>#NAME?</v>
      </c>
      <c r="R76" s="371" t="e">
        <f t="shared" ca="1" si="52"/>
        <v>#NAME?</v>
      </c>
      <c r="S76" s="371" t="e">
        <f t="shared" ca="1" si="53"/>
        <v>#NAME?</v>
      </c>
      <c r="T76" s="371" t="e">
        <f t="shared" ca="1" si="54"/>
        <v>#NAME?</v>
      </c>
      <c r="U76" s="370" t="e">
        <f t="shared" ca="1" si="55"/>
        <v>#NAME?</v>
      </c>
    </row>
    <row r="77" spans="1:21" ht="15" customHeight="1" x14ac:dyDescent="0.2">
      <c r="A77" s="373">
        <v>15</v>
      </c>
      <c r="B77" s="372" t="e">
        <f t="shared" ca="1" si="36"/>
        <v>#NAME?</v>
      </c>
      <c r="C77" s="371" t="e">
        <f t="shared" ca="1" si="37"/>
        <v>#NAME?</v>
      </c>
      <c r="D77" s="371" t="e">
        <f t="shared" ca="1" si="38"/>
        <v>#NAME?</v>
      </c>
      <c r="E77" s="371" t="e">
        <f t="shared" ca="1" si="39"/>
        <v>#NAME?</v>
      </c>
      <c r="F77" s="370" t="e">
        <f t="shared" ca="1" si="40"/>
        <v>#NAME?</v>
      </c>
      <c r="G77" s="372" t="e">
        <f t="shared" ca="1" si="41"/>
        <v>#NAME?</v>
      </c>
      <c r="H77" s="371" t="e">
        <f t="shared" ca="1" si="42"/>
        <v>#NAME?</v>
      </c>
      <c r="I77" s="371" t="e">
        <f t="shared" ca="1" si="43"/>
        <v>#NAME?</v>
      </c>
      <c r="J77" s="371" t="e">
        <f t="shared" ca="1" si="44"/>
        <v>#NAME?</v>
      </c>
      <c r="K77" s="370" t="e">
        <f t="shared" ca="1" si="45"/>
        <v>#NAME?</v>
      </c>
      <c r="L77" s="372" t="e">
        <f t="shared" ca="1" si="46"/>
        <v>#NAME?</v>
      </c>
      <c r="M77" s="371" t="e">
        <f t="shared" ca="1" si="47"/>
        <v>#NAME?</v>
      </c>
      <c r="N77" s="371" t="e">
        <f t="shared" ca="1" si="48"/>
        <v>#NAME?</v>
      </c>
      <c r="O77" s="371" t="e">
        <f t="shared" ca="1" si="49"/>
        <v>#NAME?</v>
      </c>
      <c r="P77" s="370" t="e">
        <f t="shared" ca="1" si="50"/>
        <v>#NAME?</v>
      </c>
      <c r="Q77" s="372" t="e">
        <f t="shared" ca="1" si="51"/>
        <v>#NAME?</v>
      </c>
      <c r="R77" s="371" t="e">
        <f t="shared" ca="1" si="52"/>
        <v>#NAME?</v>
      </c>
      <c r="S77" s="371" t="e">
        <f t="shared" ca="1" si="53"/>
        <v>#NAME?</v>
      </c>
      <c r="T77" s="371" t="e">
        <f t="shared" ca="1" si="54"/>
        <v>#NAME?</v>
      </c>
      <c r="U77" s="370" t="e">
        <f t="shared" ca="1" si="55"/>
        <v>#NAME?</v>
      </c>
    </row>
    <row r="78" spans="1:21" ht="15" customHeight="1" x14ac:dyDescent="0.2">
      <c r="A78" s="373">
        <v>16</v>
      </c>
      <c r="B78" s="372" t="e">
        <f t="shared" ca="1" si="36"/>
        <v>#NAME?</v>
      </c>
      <c r="C78" s="371" t="e">
        <f t="shared" ca="1" si="37"/>
        <v>#NAME?</v>
      </c>
      <c r="D78" s="371" t="e">
        <f t="shared" ca="1" si="38"/>
        <v>#NAME?</v>
      </c>
      <c r="E78" s="371" t="e">
        <f t="shared" ca="1" si="39"/>
        <v>#NAME?</v>
      </c>
      <c r="F78" s="370" t="e">
        <f t="shared" ca="1" si="40"/>
        <v>#NAME?</v>
      </c>
      <c r="G78" s="372" t="e">
        <f t="shared" ca="1" si="41"/>
        <v>#NAME?</v>
      </c>
      <c r="H78" s="371" t="e">
        <f t="shared" ca="1" si="42"/>
        <v>#NAME?</v>
      </c>
      <c r="I78" s="371" t="e">
        <f t="shared" ca="1" si="43"/>
        <v>#NAME?</v>
      </c>
      <c r="J78" s="371" t="e">
        <f t="shared" ca="1" si="44"/>
        <v>#NAME?</v>
      </c>
      <c r="K78" s="370" t="e">
        <f t="shared" ca="1" si="45"/>
        <v>#NAME?</v>
      </c>
      <c r="L78" s="372" t="e">
        <f t="shared" ca="1" si="46"/>
        <v>#NAME?</v>
      </c>
      <c r="M78" s="371" t="e">
        <f t="shared" ca="1" si="47"/>
        <v>#NAME?</v>
      </c>
      <c r="N78" s="371" t="e">
        <f t="shared" ca="1" si="48"/>
        <v>#NAME?</v>
      </c>
      <c r="O78" s="371" t="e">
        <f t="shared" ca="1" si="49"/>
        <v>#NAME?</v>
      </c>
      <c r="P78" s="370" t="e">
        <f t="shared" ca="1" si="50"/>
        <v>#NAME?</v>
      </c>
      <c r="Q78" s="372" t="e">
        <f t="shared" ca="1" si="51"/>
        <v>#NAME?</v>
      </c>
      <c r="R78" s="371" t="e">
        <f t="shared" ca="1" si="52"/>
        <v>#NAME?</v>
      </c>
      <c r="S78" s="371" t="e">
        <f t="shared" ca="1" si="53"/>
        <v>#NAME?</v>
      </c>
      <c r="T78" s="371" t="e">
        <f t="shared" ca="1" si="54"/>
        <v>#NAME?</v>
      </c>
      <c r="U78" s="370" t="e">
        <f t="shared" ca="1" si="55"/>
        <v>#NAME?</v>
      </c>
    </row>
    <row r="79" spans="1:21" ht="15" customHeight="1" x14ac:dyDescent="0.2">
      <c r="A79" s="373">
        <v>17</v>
      </c>
      <c r="B79" s="372" t="e">
        <f t="shared" ca="1" si="36"/>
        <v>#NAME?</v>
      </c>
      <c r="C79" s="371" t="e">
        <f t="shared" ca="1" si="37"/>
        <v>#NAME?</v>
      </c>
      <c r="D79" s="371" t="e">
        <f t="shared" ca="1" si="38"/>
        <v>#NAME?</v>
      </c>
      <c r="E79" s="371" t="e">
        <f t="shared" ca="1" si="39"/>
        <v>#NAME?</v>
      </c>
      <c r="F79" s="370" t="e">
        <f t="shared" ca="1" si="40"/>
        <v>#NAME?</v>
      </c>
      <c r="G79" s="372" t="e">
        <f t="shared" ca="1" si="41"/>
        <v>#NAME?</v>
      </c>
      <c r="H79" s="371" t="e">
        <f t="shared" ca="1" si="42"/>
        <v>#NAME?</v>
      </c>
      <c r="I79" s="371" t="e">
        <f t="shared" ca="1" si="43"/>
        <v>#NAME?</v>
      </c>
      <c r="J79" s="371" t="e">
        <f t="shared" ca="1" si="44"/>
        <v>#NAME?</v>
      </c>
      <c r="K79" s="370" t="e">
        <f t="shared" ca="1" si="45"/>
        <v>#NAME?</v>
      </c>
      <c r="L79" s="372" t="e">
        <f t="shared" ca="1" si="46"/>
        <v>#NAME?</v>
      </c>
      <c r="M79" s="371" t="e">
        <f t="shared" ca="1" si="47"/>
        <v>#NAME?</v>
      </c>
      <c r="N79" s="371" t="e">
        <f t="shared" ca="1" si="48"/>
        <v>#NAME?</v>
      </c>
      <c r="O79" s="371" t="e">
        <f t="shared" ca="1" si="49"/>
        <v>#NAME?</v>
      </c>
      <c r="P79" s="370" t="e">
        <f t="shared" ca="1" si="50"/>
        <v>#NAME?</v>
      </c>
      <c r="Q79" s="372" t="e">
        <f t="shared" ca="1" si="51"/>
        <v>#NAME?</v>
      </c>
      <c r="R79" s="371" t="e">
        <f t="shared" ca="1" si="52"/>
        <v>#NAME?</v>
      </c>
      <c r="S79" s="371" t="e">
        <f t="shared" ca="1" si="53"/>
        <v>#NAME?</v>
      </c>
      <c r="T79" s="371" t="e">
        <f t="shared" ca="1" si="54"/>
        <v>#NAME?</v>
      </c>
      <c r="U79" s="370" t="e">
        <f t="shared" ca="1" si="55"/>
        <v>#NAME?</v>
      </c>
    </row>
    <row r="80" spans="1:21" ht="15" customHeight="1" x14ac:dyDescent="0.2">
      <c r="A80" s="373">
        <v>18</v>
      </c>
      <c r="B80" s="372" t="e">
        <f t="shared" ca="1" si="36"/>
        <v>#NAME?</v>
      </c>
      <c r="C80" s="371" t="e">
        <f t="shared" ca="1" si="37"/>
        <v>#NAME?</v>
      </c>
      <c r="D80" s="371" t="e">
        <f t="shared" ca="1" si="38"/>
        <v>#NAME?</v>
      </c>
      <c r="E80" s="371" t="e">
        <f t="shared" ca="1" si="39"/>
        <v>#NAME?</v>
      </c>
      <c r="F80" s="370" t="e">
        <f t="shared" ca="1" si="40"/>
        <v>#NAME?</v>
      </c>
      <c r="G80" s="372" t="e">
        <f t="shared" ca="1" si="41"/>
        <v>#NAME?</v>
      </c>
      <c r="H80" s="371" t="e">
        <f t="shared" ca="1" si="42"/>
        <v>#NAME?</v>
      </c>
      <c r="I80" s="371" t="e">
        <f t="shared" ca="1" si="43"/>
        <v>#NAME?</v>
      </c>
      <c r="J80" s="371" t="e">
        <f t="shared" ca="1" si="44"/>
        <v>#NAME?</v>
      </c>
      <c r="K80" s="370" t="e">
        <f t="shared" ca="1" si="45"/>
        <v>#NAME?</v>
      </c>
      <c r="L80" s="372" t="e">
        <f t="shared" ca="1" si="46"/>
        <v>#NAME?</v>
      </c>
      <c r="M80" s="371" t="e">
        <f t="shared" ca="1" si="47"/>
        <v>#NAME?</v>
      </c>
      <c r="N80" s="371" t="e">
        <f t="shared" ca="1" si="48"/>
        <v>#NAME?</v>
      </c>
      <c r="O80" s="371" t="e">
        <f t="shared" ca="1" si="49"/>
        <v>#NAME?</v>
      </c>
      <c r="P80" s="370" t="e">
        <f t="shared" ca="1" si="50"/>
        <v>#NAME?</v>
      </c>
      <c r="Q80" s="372" t="e">
        <f t="shared" ca="1" si="51"/>
        <v>#NAME?</v>
      </c>
      <c r="R80" s="371" t="e">
        <f t="shared" ca="1" si="52"/>
        <v>#NAME?</v>
      </c>
      <c r="S80" s="371" t="e">
        <f t="shared" ca="1" si="53"/>
        <v>#NAME?</v>
      </c>
      <c r="T80" s="371" t="e">
        <f t="shared" ca="1" si="54"/>
        <v>#NAME?</v>
      </c>
      <c r="U80" s="370" t="e">
        <f t="shared" ca="1" si="55"/>
        <v>#NAME?</v>
      </c>
    </row>
    <row r="81" spans="1:21" ht="15" customHeight="1" x14ac:dyDescent="0.2">
      <c r="A81" s="373">
        <v>19</v>
      </c>
      <c r="B81" s="372" t="e">
        <f t="shared" ca="1" si="36"/>
        <v>#NAME?</v>
      </c>
      <c r="C81" s="371" t="e">
        <f t="shared" ca="1" si="37"/>
        <v>#NAME?</v>
      </c>
      <c r="D81" s="371" t="e">
        <f t="shared" ca="1" si="38"/>
        <v>#NAME?</v>
      </c>
      <c r="E81" s="371" t="e">
        <f t="shared" ca="1" si="39"/>
        <v>#NAME?</v>
      </c>
      <c r="F81" s="370" t="e">
        <f t="shared" ca="1" si="40"/>
        <v>#NAME?</v>
      </c>
      <c r="G81" s="372" t="e">
        <f t="shared" ca="1" si="41"/>
        <v>#NAME?</v>
      </c>
      <c r="H81" s="371" t="e">
        <f t="shared" ca="1" si="42"/>
        <v>#NAME?</v>
      </c>
      <c r="I81" s="371" t="e">
        <f t="shared" ca="1" si="43"/>
        <v>#NAME?</v>
      </c>
      <c r="J81" s="371" t="e">
        <f t="shared" ca="1" si="44"/>
        <v>#NAME?</v>
      </c>
      <c r="K81" s="370" t="e">
        <f t="shared" ca="1" si="45"/>
        <v>#NAME?</v>
      </c>
      <c r="L81" s="372" t="e">
        <f t="shared" ca="1" si="46"/>
        <v>#NAME?</v>
      </c>
      <c r="M81" s="371" t="e">
        <f t="shared" ca="1" si="47"/>
        <v>#NAME?</v>
      </c>
      <c r="N81" s="371" t="e">
        <f t="shared" ca="1" si="48"/>
        <v>#NAME?</v>
      </c>
      <c r="O81" s="371" t="e">
        <f t="shared" ca="1" si="49"/>
        <v>#NAME?</v>
      </c>
      <c r="P81" s="370" t="e">
        <f t="shared" ca="1" si="50"/>
        <v>#NAME?</v>
      </c>
      <c r="Q81" s="372" t="e">
        <f t="shared" ca="1" si="51"/>
        <v>#NAME?</v>
      </c>
      <c r="R81" s="371" t="e">
        <f t="shared" ca="1" si="52"/>
        <v>#NAME?</v>
      </c>
      <c r="S81" s="371" t="e">
        <f t="shared" ca="1" si="53"/>
        <v>#NAME?</v>
      </c>
      <c r="T81" s="371" t="e">
        <f t="shared" ca="1" si="54"/>
        <v>#NAME?</v>
      </c>
      <c r="U81" s="370" t="e">
        <f t="shared" ca="1" si="55"/>
        <v>#NAME?</v>
      </c>
    </row>
    <row r="82" spans="1:21" ht="15" customHeight="1" x14ac:dyDescent="0.2">
      <c r="A82" s="373">
        <v>20</v>
      </c>
      <c r="B82" s="372" t="e">
        <f t="shared" ca="1" si="36"/>
        <v>#NAME?</v>
      </c>
      <c r="C82" s="371" t="e">
        <f t="shared" ca="1" si="37"/>
        <v>#NAME?</v>
      </c>
      <c r="D82" s="371" t="e">
        <f t="shared" ca="1" si="38"/>
        <v>#NAME?</v>
      </c>
      <c r="E82" s="371" t="e">
        <f t="shared" ca="1" si="39"/>
        <v>#NAME?</v>
      </c>
      <c r="F82" s="370" t="e">
        <f t="shared" ca="1" si="40"/>
        <v>#NAME?</v>
      </c>
      <c r="G82" s="372" t="e">
        <f t="shared" ca="1" si="41"/>
        <v>#NAME?</v>
      </c>
      <c r="H82" s="371" t="e">
        <f t="shared" ca="1" si="42"/>
        <v>#NAME?</v>
      </c>
      <c r="I82" s="371" t="e">
        <f t="shared" ca="1" si="43"/>
        <v>#NAME?</v>
      </c>
      <c r="J82" s="371" t="e">
        <f t="shared" ca="1" si="44"/>
        <v>#NAME?</v>
      </c>
      <c r="K82" s="370" t="e">
        <f t="shared" ca="1" si="45"/>
        <v>#NAME?</v>
      </c>
      <c r="L82" s="372" t="e">
        <f t="shared" ca="1" si="46"/>
        <v>#NAME?</v>
      </c>
      <c r="M82" s="371" t="e">
        <f t="shared" ca="1" si="47"/>
        <v>#NAME?</v>
      </c>
      <c r="N82" s="371" t="e">
        <f t="shared" ca="1" si="48"/>
        <v>#NAME?</v>
      </c>
      <c r="O82" s="371" t="e">
        <f t="shared" ca="1" si="49"/>
        <v>#NAME?</v>
      </c>
      <c r="P82" s="370" t="e">
        <f t="shared" ca="1" si="50"/>
        <v>#NAME?</v>
      </c>
      <c r="Q82" s="372" t="e">
        <f t="shared" ca="1" si="51"/>
        <v>#NAME?</v>
      </c>
      <c r="R82" s="371" t="e">
        <f t="shared" ca="1" si="52"/>
        <v>#NAME?</v>
      </c>
      <c r="S82" s="371" t="e">
        <f t="shared" ca="1" si="53"/>
        <v>#NAME?</v>
      </c>
      <c r="T82" s="371" t="e">
        <f t="shared" ca="1" si="54"/>
        <v>#NAME?</v>
      </c>
      <c r="U82" s="370" t="e">
        <f t="shared" ca="1" si="55"/>
        <v>#NAME?</v>
      </c>
    </row>
    <row r="83" spans="1:21" ht="15" customHeight="1" x14ac:dyDescent="0.2">
      <c r="A83" s="369">
        <v>21</v>
      </c>
      <c r="B83" s="368" t="e">
        <f t="shared" ca="1" si="36"/>
        <v>#NAME?</v>
      </c>
      <c r="C83" s="367" t="e">
        <f t="shared" ca="1" si="37"/>
        <v>#NAME?</v>
      </c>
      <c r="D83" s="367" t="e">
        <f t="shared" ca="1" si="38"/>
        <v>#NAME?</v>
      </c>
      <c r="E83" s="367" t="e">
        <f t="shared" ca="1" si="39"/>
        <v>#NAME?</v>
      </c>
      <c r="F83" s="366" t="e">
        <f t="shared" ca="1" si="40"/>
        <v>#NAME?</v>
      </c>
      <c r="G83" s="368" t="e">
        <f t="shared" ca="1" si="41"/>
        <v>#NAME?</v>
      </c>
      <c r="H83" s="367" t="e">
        <f t="shared" ca="1" si="42"/>
        <v>#NAME?</v>
      </c>
      <c r="I83" s="367" t="e">
        <f t="shared" ca="1" si="43"/>
        <v>#NAME?</v>
      </c>
      <c r="J83" s="367" t="e">
        <f t="shared" ca="1" si="44"/>
        <v>#NAME?</v>
      </c>
      <c r="K83" s="366" t="e">
        <f t="shared" ca="1" si="45"/>
        <v>#NAME?</v>
      </c>
      <c r="L83" s="368" t="e">
        <f t="shared" ca="1" si="46"/>
        <v>#NAME?</v>
      </c>
      <c r="M83" s="367" t="e">
        <f t="shared" ca="1" si="47"/>
        <v>#NAME?</v>
      </c>
      <c r="N83" s="367" t="e">
        <f t="shared" ca="1" si="48"/>
        <v>#NAME?</v>
      </c>
      <c r="O83" s="367" t="e">
        <f t="shared" ca="1" si="49"/>
        <v>#NAME?</v>
      </c>
      <c r="P83" s="366" t="e">
        <f t="shared" ca="1" si="50"/>
        <v>#NAME?</v>
      </c>
      <c r="Q83" s="368" t="e">
        <f t="shared" ca="1" si="51"/>
        <v>#NAME?</v>
      </c>
      <c r="R83" s="367" t="e">
        <f t="shared" ca="1" si="52"/>
        <v>#NAME?</v>
      </c>
      <c r="S83" s="367" t="e">
        <f t="shared" ca="1" si="53"/>
        <v>#NAME?</v>
      </c>
      <c r="T83" s="367" t="e">
        <f t="shared" ca="1" si="54"/>
        <v>#NAME?</v>
      </c>
      <c r="U83" s="366" t="e">
        <f t="shared" ca="1" si="55"/>
        <v>#NAME?</v>
      </c>
    </row>
  </sheetData>
  <mergeCells count="26">
    <mergeCell ref="A61:A62"/>
    <mergeCell ref="Q62:U62"/>
    <mergeCell ref="N13:T13"/>
    <mergeCell ref="T1:T2"/>
    <mergeCell ref="AD1:AN1"/>
    <mergeCell ref="D1:I1"/>
    <mergeCell ref="J1:M1"/>
    <mergeCell ref="A1:C1"/>
    <mergeCell ref="A35:K35"/>
    <mergeCell ref="G39:K39"/>
    <mergeCell ref="Z1:AC1"/>
    <mergeCell ref="Z8:AC8"/>
    <mergeCell ref="B62:F62"/>
    <mergeCell ref="G62:K62"/>
    <mergeCell ref="L62:P62"/>
    <mergeCell ref="N1:S1"/>
    <mergeCell ref="U1:Y1"/>
    <mergeCell ref="U8:Y8"/>
    <mergeCell ref="L39:P39"/>
    <mergeCell ref="U15:Y15"/>
    <mergeCell ref="Z15:AC15"/>
    <mergeCell ref="U22:Y22"/>
    <mergeCell ref="Z22:AC22"/>
    <mergeCell ref="U29:Y29"/>
    <mergeCell ref="Z29:AC29"/>
    <mergeCell ref="Q39:U39"/>
  </mergeCells>
  <pageMargins left="0.7" right="0.7" top="0.75" bottom="0.75" header="0.3" footer="0.3"/>
  <pageSetup orientation="portrait" horizontalDpi="360" verticalDpi="36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C2EEC-801B-4C5E-B349-AA463A2E5E83}">
  <dimension ref="A1:AG64"/>
  <sheetViews>
    <sheetView zoomScale="125" zoomScaleNormal="125" workbookViewId="0">
      <selection activeCell="T49" sqref="T49"/>
    </sheetView>
  </sheetViews>
  <sheetFormatPr baseColWidth="10" defaultColWidth="6" defaultRowHeight="15" customHeight="1" x14ac:dyDescent="0.2"/>
  <cols>
    <col min="1" max="3" width="6" style="241" customWidth="1"/>
    <col min="4" max="4" width="6" style="245" customWidth="1"/>
    <col min="5" max="5" width="6" style="144"/>
    <col min="6" max="6" width="6" style="241"/>
    <col min="7" max="11" width="6" style="241" customWidth="1"/>
    <col min="12" max="12" width="6.83203125" style="241" customWidth="1"/>
    <col min="13" max="13" width="9.6640625" style="241" customWidth="1"/>
    <col min="14" max="23" width="6" style="241" customWidth="1"/>
    <col min="24" max="24" width="6" style="241"/>
    <col min="25" max="25" width="6" style="241" customWidth="1"/>
    <col min="26" max="26" width="6.1640625" style="241" bestFit="1" customWidth="1"/>
    <col min="27" max="27" width="6" style="241"/>
    <col min="28" max="28" width="6" style="244" customWidth="1"/>
    <col min="29" max="29" width="6" style="243"/>
    <col min="30" max="30" width="6" style="242" customWidth="1"/>
    <col min="31" max="31" width="6" style="242"/>
    <col min="32" max="33" width="6" style="242" customWidth="1"/>
    <col min="34" max="16384" width="6" style="241"/>
  </cols>
  <sheetData>
    <row r="1" spans="1:30" ht="15" customHeight="1" x14ac:dyDescent="0.2">
      <c r="A1" s="1529" t="s">
        <v>119</v>
      </c>
      <c r="B1" s="1535"/>
      <c r="C1" s="1536"/>
      <c r="D1" s="1529" t="s">
        <v>118</v>
      </c>
      <c r="E1" s="1481"/>
      <c r="F1" s="1482"/>
      <c r="G1" s="1529" t="s">
        <v>14</v>
      </c>
      <c r="H1" s="1535"/>
      <c r="I1" s="1535"/>
      <c r="J1" s="1535"/>
      <c r="K1" s="1535"/>
      <c r="L1" s="1536"/>
      <c r="M1" s="1535" t="s">
        <v>117</v>
      </c>
      <c r="N1" s="1535"/>
      <c r="O1" s="1535"/>
      <c r="P1" s="1535"/>
      <c r="Q1" s="1535"/>
      <c r="R1" s="1536"/>
      <c r="S1" s="1545" t="s">
        <v>116</v>
      </c>
    </row>
    <row r="2" spans="1:30" s="359" customFormat="1" ht="15" customHeight="1" x14ac:dyDescent="0.2">
      <c r="A2" s="334" t="s">
        <v>10</v>
      </c>
      <c r="B2" s="334" t="s">
        <v>115</v>
      </c>
      <c r="C2" s="334" t="s">
        <v>48</v>
      </c>
      <c r="D2" s="363"/>
      <c r="E2" s="201" t="s">
        <v>114</v>
      </c>
      <c r="F2" s="278" t="s">
        <v>113</v>
      </c>
      <c r="G2" s="334">
        <v>0</v>
      </c>
      <c r="H2" s="361" t="s">
        <v>99</v>
      </c>
      <c r="I2" s="361" t="s">
        <v>98</v>
      </c>
      <c r="J2" s="362" t="s">
        <v>97</v>
      </c>
      <c r="K2" s="361" t="s">
        <v>96</v>
      </c>
      <c r="L2" s="334" t="s">
        <v>112</v>
      </c>
      <c r="M2" s="360">
        <v>0</v>
      </c>
      <c r="N2" s="361">
        <v>1</v>
      </c>
      <c r="O2" s="361">
        <v>2</v>
      </c>
      <c r="P2" s="361">
        <v>3</v>
      </c>
      <c r="Q2" s="361">
        <v>4</v>
      </c>
      <c r="R2" s="360">
        <v>22</v>
      </c>
      <c r="S2" s="1551"/>
    </row>
    <row r="3" spans="1:30" ht="15" customHeight="1" x14ac:dyDescent="0.2">
      <c r="A3" s="291">
        <v>1</v>
      </c>
      <c r="B3" s="309">
        <v>85.7</v>
      </c>
      <c r="C3" s="309">
        <f t="array" ref="C3:C30">MMULT(X,a)</f>
        <v>85.998219980632285</v>
      </c>
      <c r="D3" s="294">
        <v>1</v>
      </c>
      <c r="E3" s="358">
        <f t="array" ref="E3:E30">MMULT(X,a_j)</f>
        <v>-0.54401329185791569</v>
      </c>
      <c r="F3" s="263">
        <f t="array" ref="F3:F30">y-MMULT(X,P15:P20)+y_bar</f>
        <v>54.086108565115403</v>
      </c>
      <c r="G3" s="291">
        <v>1</v>
      </c>
      <c r="H3" s="290">
        <v>-1.2210000000000001</v>
      </c>
      <c r="I3" s="290">
        <v>1.661</v>
      </c>
      <c r="J3" s="290">
        <v>-1.181</v>
      </c>
      <c r="K3" s="290">
        <v>-1.22</v>
      </c>
      <c r="L3" s="289">
        <f t="shared" ref="L3:L30" si="0">(I3^2-L$33)/L$34</f>
        <v>1.3893679010370081</v>
      </c>
      <c r="M3" s="356">
        <f t="array" ref="M3:R8">MINVERSE(MMULT(TRANSPOSE(X),X))</f>
        <v>3.5714384543241197E-2</v>
      </c>
      <c r="N3" s="357">
        <v>-3.8112093210940939E-3</v>
      </c>
      <c r="O3" s="357">
        <v>1.0319836577000047E-4</v>
      </c>
      <c r="P3" s="357">
        <v>1.9324175393417177E-4</v>
      </c>
      <c r="Q3" s="357">
        <v>3.8689352990822039E-3</v>
      </c>
      <c r="R3" s="356">
        <v>4.5339670057895644E-5</v>
      </c>
      <c r="S3" s="337">
        <f t="array" ref="S3:S8">MMULT(TRANSPOSE(X),y)</f>
        <v>1391.8000000000002</v>
      </c>
    </row>
    <row r="4" spans="1:30" ht="15" customHeight="1" x14ac:dyDescent="0.2">
      <c r="A4" s="305">
        <v>2</v>
      </c>
      <c r="B4" s="307">
        <v>89.5</v>
      </c>
      <c r="C4" s="307">
        <v>82.624049012813998</v>
      </c>
      <c r="D4" s="302">
        <v>1</v>
      </c>
      <c r="E4" s="301">
        <v>-0.4964809446072791</v>
      </c>
      <c r="F4" s="306">
        <v>60.851617432882371</v>
      </c>
      <c r="G4" s="305">
        <v>1</v>
      </c>
      <c r="H4" s="299">
        <v>-1.2210000000000001</v>
      </c>
      <c r="I4" s="299">
        <v>1.6220000000000001</v>
      </c>
      <c r="J4" s="299">
        <v>-1.0289999999999999</v>
      </c>
      <c r="K4" s="299">
        <v>-1.22</v>
      </c>
      <c r="L4" s="304">
        <f t="shared" si="0"/>
        <v>1.2902263823857134</v>
      </c>
      <c r="M4" s="352">
        <v>-3.8112093210940939E-3</v>
      </c>
      <c r="N4" s="355">
        <v>151.53016270958304</v>
      </c>
      <c r="O4" s="355">
        <v>-4.5206551575132288</v>
      </c>
      <c r="P4" s="355">
        <v>-8.2200420183480709</v>
      </c>
      <c r="Q4" s="355">
        <v>-153.78213790520698</v>
      </c>
      <c r="R4" s="352">
        <v>-1.6876803877955895</v>
      </c>
      <c r="S4" s="279">
        <v>96.435200000000037</v>
      </c>
      <c r="AB4" s="241"/>
      <c r="AC4" s="241"/>
      <c r="AD4" s="241"/>
    </row>
    <row r="5" spans="1:30" ht="15" customHeight="1" x14ac:dyDescent="0.2">
      <c r="A5" s="305">
        <v>3</v>
      </c>
      <c r="B5" s="307">
        <v>53.6</v>
      </c>
      <c r="C5" s="307">
        <v>57.481500850362728</v>
      </c>
      <c r="D5" s="302">
        <v>1</v>
      </c>
      <c r="E5" s="301">
        <v>-0.97982023212496827</v>
      </c>
      <c r="F5" s="306">
        <v>54.249703028247396</v>
      </c>
      <c r="G5" s="305">
        <v>1</v>
      </c>
      <c r="H5" s="299">
        <v>-1.2210000000000001</v>
      </c>
      <c r="I5" s="299">
        <v>0.48299999999999998</v>
      </c>
      <c r="J5" s="299">
        <v>0.375</v>
      </c>
      <c r="K5" s="299">
        <v>-1.22</v>
      </c>
      <c r="L5" s="304">
        <f t="shared" si="0"/>
        <v>-0.56627767043301702</v>
      </c>
      <c r="M5" s="352">
        <v>1.0319836577000051E-4</v>
      </c>
      <c r="N5" s="355">
        <v>-4.5206551575132323</v>
      </c>
      <c r="O5" s="355">
        <v>0.23428089165143581</v>
      </c>
      <c r="P5" s="355">
        <v>0.28509174625619316</v>
      </c>
      <c r="Q5" s="355">
        <v>4.5603799383070163</v>
      </c>
      <c r="R5" s="352">
        <v>-2.2035782476068654E-3</v>
      </c>
      <c r="S5" s="270">
        <v>341.87469999999996</v>
      </c>
      <c r="AB5" s="241"/>
      <c r="AC5" s="241"/>
      <c r="AD5" s="241"/>
    </row>
    <row r="6" spans="1:30" ht="15" customHeight="1" x14ac:dyDescent="0.2">
      <c r="A6" s="305">
        <v>4</v>
      </c>
      <c r="B6" s="307">
        <v>43</v>
      </c>
      <c r="C6" s="307">
        <v>47.519856613253388</v>
      </c>
      <c r="D6" s="302">
        <v>1</v>
      </c>
      <c r="E6" s="301">
        <v>-0.74937818187663252</v>
      </c>
      <c r="F6" s="306">
        <v>51.630108432398636</v>
      </c>
      <c r="G6" s="305">
        <v>1</v>
      </c>
      <c r="H6" s="299">
        <v>-1.2210000000000001</v>
      </c>
      <c r="I6" s="299">
        <v>0.20799999999999999</v>
      </c>
      <c r="J6" s="299">
        <v>0.76200000000000001</v>
      </c>
      <c r="K6" s="299">
        <v>-1.22</v>
      </c>
      <c r="L6" s="304">
        <f t="shared" si="0"/>
        <v>-0.7134176930960936</v>
      </c>
      <c r="M6" s="352">
        <v>1.9324175393417231E-4</v>
      </c>
      <c r="N6" s="355">
        <v>-8.2200420183480922</v>
      </c>
      <c r="O6" s="355">
        <v>0.28509174625619366</v>
      </c>
      <c r="P6" s="355">
        <v>0.51396704738507426</v>
      </c>
      <c r="Q6" s="355">
        <v>8.3573067064106024</v>
      </c>
      <c r="R6" s="352">
        <v>8.962009258030712E-2</v>
      </c>
      <c r="S6" s="270">
        <v>-572.54149999999993</v>
      </c>
      <c r="AB6" s="241"/>
      <c r="AC6" s="241"/>
      <c r="AD6" s="241"/>
    </row>
    <row r="7" spans="1:30" ht="15" customHeight="1" x14ac:dyDescent="0.2">
      <c r="A7" s="305">
        <v>5</v>
      </c>
      <c r="B7" s="307">
        <v>39.299999999999997</v>
      </c>
      <c r="C7" s="307">
        <v>40.951838915093312</v>
      </c>
      <c r="D7" s="302">
        <v>1</v>
      </c>
      <c r="E7" s="301">
        <v>-0.18879041218238324</v>
      </c>
      <c r="F7" s="306">
        <v>49.678440411729518</v>
      </c>
      <c r="G7" s="305">
        <v>1</v>
      </c>
      <c r="H7" s="299">
        <v>-1.2210000000000001</v>
      </c>
      <c r="I7" s="299">
        <v>-0.89200000000000002</v>
      </c>
      <c r="J7" s="299">
        <v>0.71199999999999997</v>
      </c>
      <c r="K7" s="299">
        <v>-1.22</v>
      </c>
      <c r="L7" s="304">
        <f t="shared" si="0"/>
        <v>-0.1308198609598018</v>
      </c>
      <c r="M7" s="352">
        <v>3.8689352990822056E-3</v>
      </c>
      <c r="N7" s="355">
        <v>-153.78213790520704</v>
      </c>
      <c r="O7" s="355">
        <v>4.5603799383070154</v>
      </c>
      <c r="P7" s="355">
        <v>8.3573067064105846</v>
      </c>
      <c r="Q7" s="355">
        <v>156.12808325904069</v>
      </c>
      <c r="R7" s="352">
        <v>1.747455852449628</v>
      </c>
      <c r="S7" s="270">
        <v>114.40630000000017</v>
      </c>
      <c r="AB7" s="241"/>
      <c r="AC7" s="241"/>
      <c r="AD7" s="241"/>
    </row>
    <row r="8" spans="1:30" ht="15" customHeight="1" x14ac:dyDescent="0.2">
      <c r="A8" s="305">
        <v>6</v>
      </c>
      <c r="B8" s="307">
        <v>33.1</v>
      </c>
      <c r="C8" s="307">
        <v>33.550979908370124</v>
      </c>
      <c r="D8" s="302">
        <v>1</v>
      </c>
      <c r="E8" s="301">
        <v>0.35873576895677362</v>
      </c>
      <c r="F8" s="306">
        <v>46.171911461414751</v>
      </c>
      <c r="G8" s="305">
        <v>1</v>
      </c>
      <c r="H8" s="299">
        <v>-1.2210000000000001</v>
      </c>
      <c r="I8" s="299">
        <v>-1.167</v>
      </c>
      <c r="J8" s="299">
        <v>0.81899999999999995</v>
      </c>
      <c r="K8" s="299">
        <v>-1.22</v>
      </c>
      <c r="L8" s="304">
        <f t="shared" si="0"/>
        <v>0.30761907777142072</v>
      </c>
      <c r="M8" s="354">
        <v>4.533967005789599E-5</v>
      </c>
      <c r="N8" s="353">
        <v>-1.687680387795603</v>
      </c>
      <c r="O8" s="353">
        <v>-2.2035782476064404E-3</v>
      </c>
      <c r="P8" s="353">
        <v>8.9620092580307675E-2</v>
      </c>
      <c r="Q8" s="353">
        <v>1.7474558524496415</v>
      </c>
      <c r="R8" s="352">
        <v>9.3460368959175741E-2</v>
      </c>
      <c r="S8" s="287">
        <v>66.720747040887318</v>
      </c>
      <c r="AB8" s="241"/>
      <c r="AC8" s="241"/>
      <c r="AD8" s="241"/>
    </row>
    <row r="9" spans="1:30" ht="15" customHeight="1" x14ac:dyDescent="0.2">
      <c r="A9" s="305">
        <v>7</v>
      </c>
      <c r="B9" s="307">
        <v>33.700000000000003</v>
      </c>
      <c r="C9" s="307">
        <v>35.273438861721132</v>
      </c>
      <c r="D9" s="302">
        <v>1</v>
      </c>
      <c r="E9" s="301">
        <v>0.39505317533733852</v>
      </c>
      <c r="F9" s="306">
        <v>44.737211509704473</v>
      </c>
      <c r="G9" s="305">
        <v>1</v>
      </c>
      <c r="H9" s="299">
        <v>-1.2210000000000001</v>
      </c>
      <c r="I9" s="299">
        <v>-1.246</v>
      </c>
      <c r="J9" s="299">
        <v>0.70099999999999996</v>
      </c>
      <c r="K9" s="299">
        <v>-1.22</v>
      </c>
      <c r="L9" s="304">
        <f t="shared" si="0"/>
        <v>0.45522524064574932</v>
      </c>
      <c r="M9" s="351" t="s">
        <v>27</v>
      </c>
      <c r="N9" s="329" t="s">
        <v>30</v>
      </c>
      <c r="O9" s="333" t="s">
        <v>31</v>
      </c>
      <c r="P9" s="333" t="s">
        <v>32</v>
      </c>
      <c r="Q9" s="350" t="s">
        <v>3</v>
      </c>
      <c r="R9" s="349" t="s">
        <v>33</v>
      </c>
      <c r="AB9" s="241"/>
      <c r="AC9" s="241"/>
      <c r="AD9" s="241"/>
    </row>
    <row r="10" spans="1:30" ht="15" customHeight="1" x14ac:dyDescent="0.2">
      <c r="A10" s="305">
        <v>8</v>
      </c>
      <c r="B10" s="307">
        <v>32.200000000000003</v>
      </c>
      <c r="C10" s="307">
        <v>33.550979908370124</v>
      </c>
      <c r="D10" s="302">
        <v>1</v>
      </c>
      <c r="E10" s="301">
        <v>0.35873576895677362</v>
      </c>
      <c r="F10" s="306">
        <v>45.271911461414753</v>
      </c>
      <c r="G10" s="305">
        <v>1</v>
      </c>
      <c r="H10" s="299">
        <v>-1.2210000000000001</v>
      </c>
      <c r="I10" s="299">
        <v>-1.167</v>
      </c>
      <c r="J10" s="299">
        <v>0.81899999999999995</v>
      </c>
      <c r="K10" s="299">
        <v>-1.22</v>
      </c>
      <c r="L10" s="304">
        <f t="shared" si="0"/>
        <v>0.30761907777142072</v>
      </c>
      <c r="M10" s="348" t="s">
        <v>5</v>
      </c>
      <c r="N10" s="345">
        <f>SUMSQ(y_hat)-28*y_bar^2</f>
        <v>13639.343206155376</v>
      </c>
      <c r="O10" s="245">
        <f>6-1</f>
        <v>5</v>
      </c>
      <c r="P10" s="347">
        <f>N10/O10</f>
        <v>2727.8686412310753</v>
      </c>
      <c r="Q10" s="346">
        <f>P10/P11</f>
        <v>88.727522006725962</v>
      </c>
      <c r="R10" s="339">
        <f>FDIST(Q10,O10,O11)</f>
        <v>7.899909053972802E-14</v>
      </c>
      <c r="AB10" s="241"/>
      <c r="AC10" s="241"/>
      <c r="AD10" s="241"/>
    </row>
    <row r="11" spans="1:30" ht="15" customHeight="1" x14ac:dyDescent="0.2">
      <c r="A11" s="305">
        <v>9</v>
      </c>
      <c r="B11" s="307">
        <v>31.9</v>
      </c>
      <c r="C11" s="307">
        <v>32.750702871909994</v>
      </c>
      <c r="D11" s="302">
        <v>1</v>
      </c>
      <c r="E11" s="301">
        <v>0.48423181546884941</v>
      </c>
      <c r="F11" s="306">
        <v>44.693228991723572</v>
      </c>
      <c r="G11" s="305">
        <v>1</v>
      </c>
      <c r="H11" s="299">
        <v>-1.2210000000000001</v>
      </c>
      <c r="I11" s="299">
        <v>-1.246</v>
      </c>
      <c r="J11" s="299">
        <v>0.79400000000000004</v>
      </c>
      <c r="K11" s="299">
        <v>-1.22</v>
      </c>
      <c r="L11" s="304">
        <f t="shared" si="0"/>
        <v>0.45522524064574932</v>
      </c>
      <c r="M11" s="342" t="s">
        <v>6</v>
      </c>
      <c r="N11" s="345">
        <f>SUMSQ(y)-SUMSQ(y_hat)</f>
        <v>676.37536527318298</v>
      </c>
      <c r="O11" s="245">
        <f>28-6</f>
        <v>22</v>
      </c>
      <c r="P11" s="245">
        <f>N11/O11</f>
        <v>30.74433478514468</v>
      </c>
      <c r="Q11" s="294" t="s">
        <v>111</v>
      </c>
      <c r="R11" s="344">
        <f>SQRT(P11)</f>
        <v>5.5447574144541871</v>
      </c>
      <c r="S11" s="245"/>
      <c r="AB11" s="241"/>
      <c r="AC11" s="241"/>
      <c r="AD11" s="241"/>
    </row>
    <row r="12" spans="1:30" ht="15" customHeight="1" x14ac:dyDescent="0.2">
      <c r="A12" s="283">
        <v>10</v>
      </c>
      <c r="B12" s="303">
        <v>30.6</v>
      </c>
      <c r="C12" s="303">
        <v>29.069914928396063</v>
      </c>
      <c r="D12" s="302">
        <v>1</v>
      </c>
      <c r="E12" s="301">
        <v>0.42776587736766231</v>
      </c>
      <c r="F12" s="306">
        <v>47.559486098460624</v>
      </c>
      <c r="G12" s="283">
        <v>1</v>
      </c>
      <c r="H12" s="282">
        <v>-1.2210000000000001</v>
      </c>
      <c r="I12" s="282">
        <v>-1.089</v>
      </c>
      <c r="J12" s="282">
        <v>1.0349999999999999</v>
      </c>
      <c r="K12" s="282">
        <v>-1.22</v>
      </c>
      <c r="L12" s="281">
        <f t="shared" si="0"/>
        <v>0.17136366133686592</v>
      </c>
      <c r="M12" s="342" t="s">
        <v>7</v>
      </c>
      <c r="N12" s="341">
        <f>SUMSQ(y)-28*y_bar^2</f>
        <v>14315.718571428559</v>
      </c>
      <c r="O12" s="340">
        <f>28-1</f>
        <v>27</v>
      </c>
      <c r="P12" s="340"/>
      <c r="Q12" s="302" t="s">
        <v>110</v>
      </c>
      <c r="R12" s="339">
        <f>N10/N12</f>
        <v>0.95275295739446153</v>
      </c>
      <c r="S12" s="338" t="s">
        <v>109</v>
      </c>
      <c r="T12" s="337">
        <f>_xlfn.T.INV.2T(0.05/2,O11)</f>
        <v>2.4054727462619341</v>
      </c>
      <c r="AB12" s="241"/>
      <c r="AC12" s="241"/>
      <c r="AD12" s="241"/>
    </row>
    <row r="13" spans="1:30" ht="15" customHeight="1" x14ac:dyDescent="0.2">
      <c r="A13" s="291">
        <v>11</v>
      </c>
      <c r="B13" s="309">
        <v>26.2</v>
      </c>
      <c r="C13" s="309">
        <v>20.028518149098968</v>
      </c>
      <c r="D13" s="302">
        <v>1</v>
      </c>
      <c r="E13" s="301">
        <v>0.93396065656216742</v>
      </c>
      <c r="F13" s="306">
        <v>47.848844035454206</v>
      </c>
      <c r="G13" s="291">
        <v>1</v>
      </c>
      <c r="H13" s="290">
        <v>-1.2210000000000001</v>
      </c>
      <c r="I13" s="290">
        <v>-1.246</v>
      </c>
      <c r="J13" s="290">
        <v>1.2629999999999999</v>
      </c>
      <c r="K13" s="290">
        <v>-1.22</v>
      </c>
      <c r="L13" s="289">
        <f t="shared" si="0"/>
        <v>0.45522524064574932</v>
      </c>
      <c r="M13" s="1529" t="s">
        <v>108</v>
      </c>
      <c r="N13" s="1552"/>
      <c r="O13" s="1552"/>
      <c r="P13" s="1552"/>
      <c r="Q13" s="1552"/>
      <c r="R13" s="1552"/>
      <c r="S13" s="336" t="s">
        <v>107</v>
      </c>
      <c r="T13" s="335">
        <f t="array" ref="T13">MMULT(MMULT(MINVERSE(MMULT(MMULT(TRANSPOSE(x_SV),INV_XTX),x_SV)),TRANSPOSE(x_SV)),a)</f>
        <v>-91.991480846045135</v>
      </c>
      <c r="X13" s="144"/>
      <c r="AB13" s="241"/>
      <c r="AC13" s="241"/>
      <c r="AD13" s="241"/>
    </row>
    <row r="14" spans="1:30" ht="15" customHeight="1" x14ac:dyDescent="0.2">
      <c r="A14" s="305">
        <v>12</v>
      </c>
      <c r="B14" s="307">
        <v>28.2</v>
      </c>
      <c r="C14" s="307">
        <v>28.000784265904958</v>
      </c>
      <c r="D14" s="302">
        <v>1</v>
      </c>
      <c r="E14" s="301">
        <v>-0.18546216798164039</v>
      </c>
      <c r="F14" s="306">
        <v>51.500880289225989</v>
      </c>
      <c r="G14" s="305">
        <v>1</v>
      </c>
      <c r="H14" s="299">
        <v>0.79</v>
      </c>
      <c r="I14" s="299">
        <v>-0.224</v>
      </c>
      <c r="J14" s="299">
        <v>0.83099999999999996</v>
      </c>
      <c r="K14" s="299">
        <v>0.748</v>
      </c>
      <c r="L14" s="304">
        <f t="shared" si="0"/>
        <v>-0.70806559817886061</v>
      </c>
      <c r="M14" s="329" t="s">
        <v>106</v>
      </c>
      <c r="N14" s="330" t="s">
        <v>105</v>
      </c>
      <c r="O14" s="330" t="s">
        <v>104</v>
      </c>
      <c r="P14" s="330" t="s">
        <v>103</v>
      </c>
      <c r="Q14" s="334" t="s">
        <v>39</v>
      </c>
      <c r="R14" s="333" t="s">
        <v>44</v>
      </c>
      <c r="S14" s="332" t="s">
        <v>43</v>
      </c>
      <c r="T14" s="332" t="s">
        <v>33</v>
      </c>
      <c r="U14" s="331" t="s">
        <v>102</v>
      </c>
      <c r="X14" s="144"/>
      <c r="AB14" s="241"/>
      <c r="AC14" s="241"/>
      <c r="AD14" s="241"/>
    </row>
    <row r="15" spans="1:30" ht="15" customHeight="1" x14ac:dyDescent="0.2">
      <c r="A15" s="305">
        <v>13</v>
      </c>
      <c r="B15" s="307">
        <v>29.3</v>
      </c>
      <c r="C15" s="307">
        <v>28.000784265904958</v>
      </c>
      <c r="D15" s="302">
        <v>1</v>
      </c>
      <c r="E15" s="301">
        <v>-0.18546216798164039</v>
      </c>
      <c r="F15" s="306">
        <v>52.600880289225998</v>
      </c>
      <c r="G15" s="305">
        <v>1</v>
      </c>
      <c r="H15" s="299">
        <v>0.79</v>
      </c>
      <c r="I15" s="299">
        <v>-0.224</v>
      </c>
      <c r="J15" s="299">
        <v>0.83099999999999996</v>
      </c>
      <c r="K15" s="299">
        <v>0.748</v>
      </c>
      <c r="L15" s="304">
        <f t="shared" si="0"/>
        <v>-0.70806559817886061</v>
      </c>
      <c r="M15" s="329">
        <v>0</v>
      </c>
      <c r="N15" s="265">
        <v>0</v>
      </c>
      <c r="O15" s="314">
        <f t="array" ref="O15:O20">MMULT(INV_XTX,x_SV)/MMULT(TRANSPOSE(x_SV),MMULT(INV_XTX,x_SV))</f>
        <v>4.8512188174327007E-4</v>
      </c>
      <c r="P15" s="314">
        <f t="array" ref="P15:P20">a-λ*MMULT(INV_XTX,x_SV)</f>
        <v>49.714214193393474</v>
      </c>
      <c r="Q15" s="328">
        <f t="array" ref="Q15:Q20">MMULT(M3:R8,S3:S8)</f>
        <v>49.710043330003778</v>
      </c>
      <c r="R15" s="312" t="e">
        <f t="array" aca="1" ref="R15:R20" ca="1">SQRT([5]!DIAG(M3:R8))*s</f>
        <v>#NAME?</v>
      </c>
      <c r="S15" s="312" t="e">
        <f t="shared" ref="S15:S20" ca="1" si="1">Q15/R15</f>
        <v>#NAME?</v>
      </c>
      <c r="T15" s="311" t="e">
        <f t="shared" ref="T15:T20" ca="1" si="2">TDIST(ABS(S15),DFR,2)</f>
        <v>#NAME?</v>
      </c>
      <c r="U15" s="310" t="e">
        <f t="shared" ref="U15:U20" ca="1" si="3">IF(TDIST(ABS(S15),DFR,2)&lt;=0.05,"*","")</f>
        <v>#NAME?</v>
      </c>
      <c r="X15" s="144"/>
      <c r="Z15"/>
      <c r="AA15"/>
    </row>
    <row r="16" spans="1:30" ht="15" customHeight="1" x14ac:dyDescent="0.2">
      <c r="A16" s="305">
        <v>14</v>
      </c>
      <c r="B16" s="307">
        <v>30.4</v>
      </c>
      <c r="C16" s="307">
        <v>28.000784265904958</v>
      </c>
      <c r="D16" s="302">
        <v>1</v>
      </c>
      <c r="E16" s="301">
        <v>-0.18546216798164039</v>
      </c>
      <c r="F16" s="306">
        <v>53.700880289225992</v>
      </c>
      <c r="G16" s="305">
        <v>1</v>
      </c>
      <c r="H16" s="299">
        <v>0.79</v>
      </c>
      <c r="I16" s="299">
        <v>-0.224</v>
      </c>
      <c r="J16" s="299">
        <v>0.83099999999999996</v>
      </c>
      <c r="K16" s="299">
        <v>0.748</v>
      </c>
      <c r="L16" s="304">
        <f t="shared" si="0"/>
        <v>-0.70806559817886061</v>
      </c>
      <c r="M16" s="322" t="s">
        <v>99</v>
      </c>
      <c r="N16" s="326">
        <f>IF(M$46=M16,1,0)</f>
        <v>0</v>
      </c>
      <c r="O16" s="320">
        <v>-18.057711590383107</v>
      </c>
      <c r="P16" s="325">
        <v>-93.146250864795391</v>
      </c>
      <c r="Q16" s="324">
        <v>62.105967203348612</v>
      </c>
      <c r="R16" s="245" t="e">
        <f ca="1"/>
        <v>#NAME?</v>
      </c>
      <c r="S16" s="245" t="e">
        <f t="shared" ca="1" si="1"/>
        <v>#NAME?</v>
      </c>
      <c r="T16" s="318" t="e">
        <f t="shared" ca="1" si="2"/>
        <v>#NAME?</v>
      </c>
      <c r="U16" s="317" t="e">
        <f t="shared" ca="1" si="3"/>
        <v>#NAME?</v>
      </c>
      <c r="X16" s="144"/>
      <c r="Z16"/>
      <c r="AA16"/>
    </row>
    <row r="17" spans="1:32" ht="15" customHeight="1" x14ac:dyDescent="0.2">
      <c r="A17" s="305">
        <v>15</v>
      </c>
      <c r="B17" s="307">
        <v>29.7</v>
      </c>
      <c r="C17" s="307">
        <v>28.436547345327089</v>
      </c>
      <c r="D17" s="302">
        <v>1</v>
      </c>
      <c r="E17" s="301">
        <v>-0.16033742808314755</v>
      </c>
      <c r="F17" s="306">
        <v>52.349105807799631</v>
      </c>
      <c r="G17" s="305">
        <v>1</v>
      </c>
      <c r="H17" s="299">
        <v>0.79</v>
      </c>
      <c r="I17" s="299">
        <v>-0.38200000000000001</v>
      </c>
      <c r="J17" s="299">
        <v>0.77600000000000002</v>
      </c>
      <c r="K17" s="299">
        <v>0.748</v>
      </c>
      <c r="L17" s="304">
        <f t="shared" si="0"/>
        <v>-0.63392607501114973</v>
      </c>
      <c r="M17" s="322" t="s">
        <v>98</v>
      </c>
      <c r="N17" s="321">
        <f>IF(M$46=M17,1,0)</f>
        <v>0</v>
      </c>
      <c r="O17" s="320">
        <v>-2.3577675459096534E-2</v>
      </c>
      <c r="P17" s="320">
        <v>2.4476612725193085</v>
      </c>
      <c r="Q17" s="323">
        <v>2.6503716986767971</v>
      </c>
      <c r="R17" s="245" t="e">
        <f ca="1"/>
        <v>#NAME?</v>
      </c>
      <c r="S17" s="245" t="e">
        <f t="shared" ca="1" si="1"/>
        <v>#NAME?</v>
      </c>
      <c r="T17" s="318" t="e">
        <f t="shared" ca="1" si="2"/>
        <v>#NAME?</v>
      </c>
      <c r="U17" s="317" t="e">
        <f t="shared" ca="1" si="3"/>
        <v>#NAME?</v>
      </c>
      <c r="X17" s="144"/>
      <c r="Z17"/>
      <c r="AA17"/>
    </row>
    <row r="18" spans="1:32" ht="15" customHeight="1" x14ac:dyDescent="0.2">
      <c r="A18" s="305">
        <v>16</v>
      </c>
      <c r="B18" s="307">
        <v>29.7</v>
      </c>
      <c r="C18" s="307">
        <v>28.436547345327089</v>
      </c>
      <c r="D18" s="302">
        <v>1</v>
      </c>
      <c r="E18" s="301">
        <v>-0.16033742808314755</v>
      </c>
      <c r="F18" s="306">
        <v>52.349105807799631</v>
      </c>
      <c r="G18" s="305">
        <v>1</v>
      </c>
      <c r="H18" s="299">
        <v>0.79</v>
      </c>
      <c r="I18" s="299">
        <v>-0.38200000000000001</v>
      </c>
      <c r="J18" s="299">
        <v>0.77600000000000002</v>
      </c>
      <c r="K18" s="299">
        <v>0.748</v>
      </c>
      <c r="L18" s="304">
        <f t="shared" si="0"/>
        <v>-0.63392607501114973</v>
      </c>
      <c r="M18" s="322" t="s">
        <v>97</v>
      </c>
      <c r="N18" s="321">
        <f>IF(M$46=M18,1,0)</f>
        <v>0</v>
      </c>
      <c r="O18" s="320">
        <v>0.95891010894097706</v>
      </c>
      <c r="P18" s="320">
        <v>-18.881908408807355</v>
      </c>
      <c r="Q18" s="323">
        <v>-27.126193438829468</v>
      </c>
      <c r="R18" s="245" t="e">
        <f ca="1"/>
        <v>#NAME?</v>
      </c>
      <c r="S18" s="245" t="e">
        <f t="shared" ca="1" si="1"/>
        <v>#NAME?</v>
      </c>
      <c r="T18" s="318" t="e">
        <f t="shared" ca="1" si="2"/>
        <v>#NAME?</v>
      </c>
      <c r="U18" s="317" t="e">
        <f t="shared" ca="1" si="3"/>
        <v>#NAME?</v>
      </c>
      <c r="X18" s="144"/>
      <c r="Z18"/>
      <c r="AA18"/>
    </row>
    <row r="19" spans="1:32" ht="15" customHeight="1" x14ac:dyDescent="0.2">
      <c r="A19" s="305">
        <v>17</v>
      </c>
      <c r="B19" s="307">
        <v>30.7</v>
      </c>
      <c r="C19" s="307">
        <v>28.436547345327089</v>
      </c>
      <c r="D19" s="302">
        <v>1</v>
      </c>
      <c r="E19" s="301">
        <v>-0.16033742808314755</v>
      </c>
      <c r="F19" s="306">
        <v>53.349105807799631</v>
      </c>
      <c r="G19" s="305">
        <v>1</v>
      </c>
      <c r="H19" s="299">
        <v>0.79</v>
      </c>
      <c r="I19" s="299">
        <v>-0.38200000000000001</v>
      </c>
      <c r="J19" s="299">
        <v>0.77600000000000002</v>
      </c>
      <c r="K19" s="299">
        <v>0.748</v>
      </c>
      <c r="L19" s="304">
        <f t="shared" si="0"/>
        <v>-0.63392607501114973</v>
      </c>
      <c r="M19" s="322" t="s">
        <v>96</v>
      </c>
      <c r="N19" s="321">
        <f>IF(M$46=M19,1,0)</f>
        <v>0</v>
      </c>
      <c r="O19" s="320">
        <v>18.697292466424255</v>
      </c>
      <c r="P19" s="320">
        <v>88.926107714538759</v>
      </c>
      <c r="Q19" s="319">
        <v>-71.824943865390665</v>
      </c>
      <c r="R19" s="245" t="e">
        <f ca="1"/>
        <v>#NAME?</v>
      </c>
      <c r="S19" s="245" t="e">
        <f t="shared" ca="1" si="1"/>
        <v>#NAME?</v>
      </c>
      <c r="T19" s="318" t="e">
        <f t="shared" ca="1" si="2"/>
        <v>#NAME?</v>
      </c>
      <c r="U19" s="317" t="e">
        <f t="shared" ca="1" si="3"/>
        <v>#NAME?</v>
      </c>
      <c r="X19" s="144"/>
      <c r="Z19"/>
      <c r="AA19"/>
    </row>
    <row r="20" spans="1:32" ht="15" customHeight="1" x14ac:dyDescent="0.2">
      <c r="A20" s="305">
        <v>18</v>
      </c>
      <c r="B20" s="307">
        <v>28.7</v>
      </c>
      <c r="C20" s="307">
        <v>27.402266942907271</v>
      </c>
      <c r="D20" s="302">
        <v>1</v>
      </c>
      <c r="E20" s="301">
        <v>-0.17697468438429764</v>
      </c>
      <c r="F20" s="306">
        <v>52.526425981919942</v>
      </c>
      <c r="G20" s="305">
        <v>1</v>
      </c>
      <c r="H20" s="299">
        <v>0.79</v>
      </c>
      <c r="I20" s="299">
        <v>-0.107</v>
      </c>
      <c r="J20" s="299">
        <v>0.874</v>
      </c>
      <c r="K20" s="299">
        <v>0.748</v>
      </c>
      <c r="L20" s="304">
        <f t="shared" si="0"/>
        <v>-0.73805266123726332</v>
      </c>
      <c r="M20" s="316" t="s">
        <v>95</v>
      </c>
      <c r="N20" s="265">
        <f>IF(M$46=M20,1,0)</f>
        <v>1</v>
      </c>
      <c r="O20" s="315">
        <v>1</v>
      </c>
      <c r="P20" s="314">
        <v>0</v>
      </c>
      <c r="Q20" s="313">
        <v>-8.5975577409723272</v>
      </c>
      <c r="R20" s="312" t="e">
        <f ca="1"/>
        <v>#NAME?</v>
      </c>
      <c r="S20" s="312" t="e">
        <f t="shared" ca="1" si="1"/>
        <v>#NAME?</v>
      </c>
      <c r="T20" s="311" t="e">
        <f t="shared" ca="1" si="2"/>
        <v>#NAME?</v>
      </c>
      <c r="U20" s="310" t="e">
        <f t="shared" ca="1" si="3"/>
        <v>#NAME?</v>
      </c>
      <c r="X20" s="144"/>
      <c r="Z20"/>
      <c r="AA20"/>
    </row>
    <row r="21" spans="1:32" ht="15" customHeight="1" x14ac:dyDescent="0.2">
      <c r="A21" s="305">
        <v>19</v>
      </c>
      <c r="B21" s="307">
        <v>36</v>
      </c>
      <c r="C21" s="307">
        <v>46.269536649138885</v>
      </c>
      <c r="D21" s="302">
        <v>1</v>
      </c>
      <c r="E21" s="301">
        <v>-0.60649833641992723</v>
      </c>
      <c r="F21" s="306">
        <v>44.652010675177962</v>
      </c>
      <c r="G21" s="305">
        <v>1</v>
      </c>
      <c r="H21" s="299">
        <v>0.79</v>
      </c>
      <c r="I21" s="299">
        <v>0.6</v>
      </c>
      <c r="J21" s="299">
        <v>0.16200000000000001</v>
      </c>
      <c r="K21" s="299">
        <v>0.748</v>
      </c>
      <c r="L21" s="304">
        <f t="shared" si="0"/>
        <v>-0.46816289915733694</v>
      </c>
      <c r="X21" s="144"/>
    </row>
    <row r="22" spans="1:32" ht="15" customHeight="1" x14ac:dyDescent="0.2">
      <c r="A22" s="283">
        <v>20</v>
      </c>
      <c r="B22" s="303">
        <v>81.5</v>
      </c>
      <c r="C22" s="303">
        <v>72.846546840241786</v>
      </c>
      <c r="D22" s="302">
        <v>1</v>
      </c>
      <c r="E22" s="301">
        <v>-1.1810091163615053</v>
      </c>
      <c r="F22" s="306">
        <v>68.51439008743381</v>
      </c>
      <c r="G22" s="283">
        <v>1</v>
      </c>
      <c r="H22" s="282">
        <v>0.79</v>
      </c>
      <c r="I22" s="282">
        <v>0.99299999999999999</v>
      </c>
      <c r="J22" s="282">
        <v>-0.93300000000000005</v>
      </c>
      <c r="K22" s="282">
        <v>0.748</v>
      </c>
      <c r="L22" s="281">
        <f t="shared" si="0"/>
        <v>1.6598916646880624E-2</v>
      </c>
      <c r="R22" s="144"/>
      <c r="U22" s="144"/>
      <c r="V22" s="144"/>
      <c r="W22" s="144"/>
      <c r="X22" s="144"/>
    </row>
    <row r="23" spans="1:32" ht="15" customHeight="1" x14ac:dyDescent="0.2">
      <c r="A23" s="291">
        <v>21</v>
      </c>
      <c r="B23" s="309">
        <v>48.5</v>
      </c>
      <c r="C23" s="309">
        <v>55.845522088480649</v>
      </c>
      <c r="D23" s="302">
        <v>1</v>
      </c>
      <c r="E23" s="301">
        <v>1.2368349060862087</v>
      </c>
      <c r="F23" s="306">
        <v>31.727861247535976</v>
      </c>
      <c r="G23" s="291">
        <v>1</v>
      </c>
      <c r="H23" s="290">
        <v>0.79</v>
      </c>
      <c r="I23" s="290">
        <v>2.0539999999999998</v>
      </c>
      <c r="J23" s="290">
        <v>-0.996</v>
      </c>
      <c r="K23" s="290">
        <v>0.748</v>
      </c>
      <c r="L23" s="289">
        <f t="shared" si="0"/>
        <v>2.5198701896199758</v>
      </c>
      <c r="M23" s="144"/>
      <c r="N23" s="144"/>
      <c r="O23" s="144"/>
      <c r="P23" s="144"/>
      <c r="Q23" s="144"/>
      <c r="R23" s="144"/>
      <c r="U23" s="144"/>
      <c r="V23" s="144"/>
      <c r="W23" s="144"/>
      <c r="X23" s="144"/>
    </row>
    <row r="24" spans="1:32" ht="15" customHeight="1" x14ac:dyDescent="0.2">
      <c r="A24" s="305">
        <v>22</v>
      </c>
      <c r="B24" s="307">
        <v>50.4</v>
      </c>
      <c r="C24" s="307">
        <v>51.42413264554186</v>
      </c>
      <c r="D24" s="302">
        <v>1</v>
      </c>
      <c r="E24" s="301">
        <v>1.765046019267682</v>
      </c>
      <c r="F24" s="306">
        <v>33.507925145473735</v>
      </c>
      <c r="G24" s="305">
        <v>1</v>
      </c>
      <c r="H24" s="299">
        <v>0.79</v>
      </c>
      <c r="I24" s="299">
        <v>2.2109999999999999</v>
      </c>
      <c r="J24" s="299">
        <v>-0.98199999999999998</v>
      </c>
      <c r="K24" s="299">
        <v>0.748</v>
      </c>
      <c r="L24" s="304">
        <f t="shared" si="0"/>
        <v>3.0383582563233538</v>
      </c>
      <c r="M24" s="144"/>
      <c r="O24" s="308"/>
      <c r="P24" s="144"/>
      <c r="Q24" s="144"/>
      <c r="R24" s="144"/>
      <c r="U24" s="144"/>
      <c r="V24" s="144"/>
      <c r="W24" s="144"/>
      <c r="X24" s="144"/>
      <c r="Y24" s="297"/>
      <c r="AF24" s="255"/>
    </row>
    <row r="25" spans="1:32" ht="15" customHeight="1" x14ac:dyDescent="0.2">
      <c r="A25" s="305">
        <v>23</v>
      </c>
      <c r="B25" s="307">
        <v>89.2</v>
      </c>
      <c r="C25" s="307">
        <v>76.319773653595377</v>
      </c>
      <c r="D25" s="302">
        <v>1</v>
      </c>
      <c r="E25" s="301">
        <v>0.48013519870603455</v>
      </c>
      <c r="F25" s="306">
        <v>58.459379109199126</v>
      </c>
      <c r="G25" s="305">
        <v>1</v>
      </c>
      <c r="H25" s="299">
        <v>0.79</v>
      </c>
      <c r="I25" s="299">
        <v>0.89500000000000002</v>
      </c>
      <c r="J25" s="299">
        <v>-1.335</v>
      </c>
      <c r="K25" s="299">
        <v>0.86499999999999999</v>
      </c>
      <c r="L25" s="304">
        <f t="shared" si="0"/>
        <v>-0.12666873525793759</v>
      </c>
      <c r="M25" s="144"/>
      <c r="N25" s="144"/>
      <c r="O25" s="144"/>
      <c r="P25" s="144"/>
      <c r="Q25" s="144"/>
      <c r="R25" s="144"/>
      <c r="U25" s="144"/>
      <c r="V25" s="144"/>
      <c r="W25" s="144"/>
      <c r="X25" s="144"/>
      <c r="AF25" s="255"/>
    </row>
    <row r="26" spans="1:32" ht="15" customHeight="1" x14ac:dyDescent="0.2">
      <c r="A26" s="305">
        <v>24</v>
      </c>
      <c r="B26" s="307">
        <v>82.7</v>
      </c>
      <c r="C26" s="307">
        <v>78.45722116820059</v>
      </c>
      <c r="D26" s="302">
        <v>1</v>
      </c>
      <c r="E26" s="301">
        <v>-8.1637697724690983E-2</v>
      </c>
      <c r="F26" s="306">
        <v>54.65180650897036</v>
      </c>
      <c r="G26" s="305">
        <v>1</v>
      </c>
      <c r="H26" s="299">
        <v>0.79</v>
      </c>
      <c r="I26" s="299">
        <v>-0.20499999999999999</v>
      </c>
      <c r="J26" s="299">
        <v>-1.335</v>
      </c>
      <c r="K26" s="299">
        <v>0.86499999999999999</v>
      </c>
      <c r="L26" s="304">
        <f t="shared" si="0"/>
        <v>-0.71437707469367051</v>
      </c>
      <c r="M26" s="144"/>
      <c r="N26" s="144"/>
      <c r="O26" s="144"/>
      <c r="P26" s="144"/>
      <c r="Q26" s="144"/>
      <c r="R26" s="144"/>
      <c r="U26" s="144"/>
      <c r="V26" s="144"/>
      <c r="W26" s="144"/>
      <c r="X26" s="144"/>
      <c r="AF26" s="255"/>
    </row>
    <row r="27" spans="1:32" ht="15" customHeight="1" x14ac:dyDescent="0.2">
      <c r="A27" s="305">
        <v>25</v>
      </c>
      <c r="B27" s="307">
        <v>78.599999999999994</v>
      </c>
      <c r="C27" s="307">
        <v>78.562155189510847</v>
      </c>
      <c r="D27" s="302">
        <v>1</v>
      </c>
      <c r="E27" s="301">
        <v>-8.8148941678667714E-2</v>
      </c>
      <c r="F27" s="306">
        <v>50.502853283519975</v>
      </c>
      <c r="G27" s="305">
        <v>1</v>
      </c>
      <c r="H27" s="299">
        <v>0.79</v>
      </c>
      <c r="I27" s="299">
        <v>-0.185</v>
      </c>
      <c r="J27" s="299">
        <v>-1.335</v>
      </c>
      <c r="K27" s="299">
        <v>0.86499999999999999</v>
      </c>
      <c r="L27" s="304">
        <f t="shared" si="0"/>
        <v>-0.72041676513846464</v>
      </c>
      <c r="M27" s="144"/>
      <c r="N27" s="144"/>
      <c r="O27" s="144"/>
      <c r="P27" s="144"/>
      <c r="Q27" s="144"/>
      <c r="R27" s="144"/>
      <c r="U27" s="144"/>
      <c r="V27" s="144"/>
      <c r="W27" s="144"/>
      <c r="AF27" s="255"/>
    </row>
    <row r="28" spans="1:32" ht="15" customHeight="1" x14ac:dyDescent="0.2">
      <c r="A28" s="305">
        <v>26</v>
      </c>
      <c r="B28" s="307">
        <v>75.400000000000006</v>
      </c>
      <c r="C28" s="307">
        <v>78.99934739957699</v>
      </c>
      <c r="D28" s="302">
        <v>1</v>
      </c>
      <c r="E28" s="301">
        <v>-0.11109980880909875</v>
      </c>
      <c r="F28" s="306">
        <v>47.06298247881309</v>
      </c>
      <c r="G28" s="305">
        <v>1</v>
      </c>
      <c r="H28" s="299">
        <v>0.79</v>
      </c>
      <c r="I28" s="299">
        <v>-8.6999999999999994E-2</v>
      </c>
      <c r="J28" s="299">
        <v>-1.335</v>
      </c>
      <c r="K28" s="299">
        <v>0.86499999999999999</v>
      </c>
      <c r="L28" s="304">
        <f t="shared" si="0"/>
        <v>-0.7410570200739045</v>
      </c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298"/>
      <c r="Y28" s="297"/>
    </row>
    <row r="29" spans="1:32" ht="15" customHeight="1" x14ac:dyDescent="0.2">
      <c r="A29" s="305">
        <v>27</v>
      </c>
      <c r="B29" s="307">
        <v>70.900000000000006</v>
      </c>
      <c r="C29" s="307">
        <v>78.99934739957699</v>
      </c>
      <c r="D29" s="302">
        <v>1</v>
      </c>
      <c r="E29" s="301">
        <v>-0.11109980880909875</v>
      </c>
      <c r="F29" s="306">
        <v>42.56298247881309</v>
      </c>
      <c r="G29" s="305">
        <v>1</v>
      </c>
      <c r="H29" s="299">
        <v>0.79</v>
      </c>
      <c r="I29" s="299">
        <v>-8.6999999999999994E-2</v>
      </c>
      <c r="J29" s="299">
        <v>-1.335</v>
      </c>
      <c r="K29" s="299">
        <v>0.86499999999999999</v>
      </c>
      <c r="L29" s="304">
        <f t="shared" si="0"/>
        <v>-0.7410570200739045</v>
      </c>
      <c r="O29" s="144"/>
      <c r="P29" s="144"/>
      <c r="X29" s="298"/>
      <c r="Y29" s="297"/>
      <c r="AF29" s="255"/>
    </row>
    <row r="30" spans="1:32" ht="15" customHeight="1" x14ac:dyDescent="0.2">
      <c r="A30" s="283">
        <v>28</v>
      </c>
      <c r="B30" s="303">
        <v>73.099999999999994</v>
      </c>
      <c r="C30" s="303">
        <v>78.562155189510847</v>
      </c>
      <c r="D30" s="302">
        <v>1</v>
      </c>
      <c r="E30" s="301">
        <v>-8.8148941678667714E-2</v>
      </c>
      <c r="F30" s="300">
        <v>45.002853283519975</v>
      </c>
      <c r="G30" s="283">
        <v>1</v>
      </c>
      <c r="H30" s="299">
        <v>0.79</v>
      </c>
      <c r="I30" s="299">
        <v>-0.185</v>
      </c>
      <c r="J30" s="299">
        <v>-1.335</v>
      </c>
      <c r="K30" s="299">
        <v>0.86499999999999999</v>
      </c>
      <c r="L30" s="281">
        <f t="shared" si="0"/>
        <v>-0.72041676513846464</v>
      </c>
      <c r="N30" s="144"/>
      <c r="X30" s="298"/>
      <c r="Y30" s="297"/>
    </row>
    <row r="31" spans="1:32" ht="15" customHeight="1" x14ac:dyDescent="0.15">
      <c r="A31" s="296" t="s">
        <v>93</v>
      </c>
      <c r="B31" s="279">
        <f t="shared" ref="B31:L31" si="4">AVERAGE(B3:B30)</f>
        <v>49.707142857142863</v>
      </c>
      <c r="C31" s="295">
        <f t="shared" si="4"/>
        <v>49.707142857142863</v>
      </c>
      <c r="D31" s="294">
        <f t="shared" si="4"/>
        <v>1</v>
      </c>
      <c r="E31" s="293">
        <f t="shared" si="4"/>
        <v>-2.4781763942525816E-16</v>
      </c>
      <c r="F31" s="292">
        <f t="shared" si="4"/>
        <v>49.707142857142848</v>
      </c>
      <c r="G31" s="291">
        <f t="shared" si="4"/>
        <v>1</v>
      </c>
      <c r="H31" s="290">
        <f t="shared" si="4"/>
        <v>-3.5714285714487968E-5</v>
      </c>
      <c r="I31" s="290">
        <f t="shared" si="4"/>
        <v>3.6677010634938206E-17</v>
      </c>
      <c r="J31" s="290">
        <f t="shared" si="4"/>
        <v>2.1428571428572241E-4</v>
      </c>
      <c r="K31" s="290">
        <f t="shared" si="4"/>
        <v>-7.142857142874595E-5</v>
      </c>
      <c r="L31" s="289">
        <f t="shared" si="4"/>
        <v>-1.1102230246251565E-16</v>
      </c>
    </row>
    <row r="32" spans="1:32" ht="15" customHeight="1" x14ac:dyDescent="0.15">
      <c r="A32" s="288" t="s">
        <v>88</v>
      </c>
      <c r="B32" s="287">
        <f t="shared" ref="B32:L32" si="5">STDEV(B3:B30)</f>
        <v>23.026328386041023</v>
      </c>
      <c r="C32" s="286">
        <f t="shared" si="5"/>
        <v>22.475783845891474</v>
      </c>
      <c r="D32" s="285">
        <f t="shared" si="5"/>
        <v>0</v>
      </c>
      <c r="E32" s="284">
        <f t="shared" si="5"/>
        <v>0.62951252054387252</v>
      </c>
      <c r="F32" s="284">
        <f t="shared" si="5"/>
        <v>7.3718117616403118</v>
      </c>
      <c r="G32" s="283">
        <f t="shared" si="5"/>
        <v>0</v>
      </c>
      <c r="H32" s="282">
        <f t="shared" si="5"/>
        <v>1.0001657448622034</v>
      </c>
      <c r="I32" s="282">
        <f t="shared" si="5"/>
        <v>1.0001692819681041</v>
      </c>
      <c r="J32" s="282">
        <f t="shared" si="5"/>
        <v>1.0000014206339116</v>
      </c>
      <c r="K32" s="282">
        <f t="shared" si="5"/>
        <v>1.0003016925860302</v>
      </c>
      <c r="L32" s="281">
        <f t="shared" si="5"/>
        <v>0.99999999999999989</v>
      </c>
    </row>
    <row r="33" spans="1:17" ht="15" customHeight="1" x14ac:dyDescent="0.2">
      <c r="A33" s="1554" t="s">
        <v>94</v>
      </c>
      <c r="B33" s="1481"/>
      <c r="C33" s="1481"/>
      <c r="D33" s="1481"/>
      <c r="E33" s="1481"/>
      <c r="F33" s="1481"/>
      <c r="G33" s="1481"/>
      <c r="H33" s="1481"/>
      <c r="I33" s="1555"/>
      <c r="J33" s="1556"/>
      <c r="K33" s="280" t="s">
        <v>93</v>
      </c>
      <c r="L33" s="279">
        <v>0.96461221428571442</v>
      </c>
    </row>
    <row r="34" spans="1:17" ht="15" customHeight="1" x14ac:dyDescent="0.15">
      <c r="A34" s="278" t="s">
        <v>10</v>
      </c>
      <c r="B34" s="278">
        <v>0</v>
      </c>
      <c r="C34" s="277" t="s">
        <v>92</v>
      </c>
      <c r="D34" s="276" t="s">
        <v>91</v>
      </c>
      <c r="E34" s="275" t="s">
        <v>90</v>
      </c>
      <c r="F34" s="275" t="s">
        <v>89</v>
      </c>
      <c r="G34" s="274" t="s">
        <v>22</v>
      </c>
      <c r="H34" s="272" t="s">
        <v>23</v>
      </c>
      <c r="I34" s="273" t="s">
        <v>25</v>
      </c>
      <c r="J34" s="272" t="s">
        <v>26</v>
      </c>
      <c r="K34" s="271" t="s">
        <v>88</v>
      </c>
      <c r="L34" s="270">
        <v>1.2914569167569183</v>
      </c>
    </row>
    <row r="35" spans="1:17" ht="15" customHeight="1" x14ac:dyDescent="0.15">
      <c r="A35" s="269">
        <v>1</v>
      </c>
      <c r="B35" s="268">
        <v>1</v>
      </c>
      <c r="C35" s="257">
        <f>MIN(E3:E30)</f>
        <v>-1.1810091163615053</v>
      </c>
      <c r="D35" s="254">
        <f t="array" ref="D35:D55">MMULT(B35:C55,K37:K38)</f>
        <v>59.860936927671332</v>
      </c>
      <c r="E35" s="244">
        <f t="array" ref="E35">SQRT(MMULT(MMULT(B35:C35,MINVERSE(MMULT(TRANSPOSE(D$3:E$30),D$3:E$30))),TRANSPOSE(B35:C35)))*s*t_crit</f>
        <v>5.4353826208530425</v>
      </c>
      <c r="F35" s="244">
        <f t="array" ref="F35">SQRT(1+MMULT(MMULT(B35:C35,MINVERSE(MMULT(TRANSPOSE(D$3:E$30),D$3:E$30))),TRANSPOSE(B35:C35)))*s*t_crit</f>
        <v>14.402753276623546</v>
      </c>
      <c r="G35" s="256">
        <f t="shared" ref="G35:G55" si="6">D35-E35</f>
        <v>54.425554306818292</v>
      </c>
      <c r="H35" s="254">
        <f t="shared" ref="H35:H55" si="7">D35+E35</f>
        <v>65.29631954852438</v>
      </c>
      <c r="I35" s="255">
        <f t="shared" ref="I35:I55" si="8">D35-F35</f>
        <v>45.45818365104779</v>
      </c>
      <c r="J35" s="254">
        <f t="shared" ref="J35:J55" si="9">D35+F35</f>
        <v>74.263690204294875</v>
      </c>
      <c r="K35" s="267" t="s">
        <v>87</v>
      </c>
      <c r="L35" s="266">
        <f>(C55-C35)/20</f>
        <v>0.14730275678145938</v>
      </c>
    </row>
    <row r="36" spans="1:17" ht="15" customHeight="1" x14ac:dyDescent="0.15">
      <c r="A36" s="259">
        <v>2</v>
      </c>
      <c r="B36" s="258">
        <v>1</v>
      </c>
      <c r="C36" s="257">
        <f t="shared" ref="C36:C54" si="10">C35+L$35</f>
        <v>-1.033706359580046</v>
      </c>
      <c r="D36" s="254">
        <v>58.594492970838857</v>
      </c>
      <c r="E36" s="244">
        <f t="array" ref="E36">SQRT(MMULT(MMULT(B36:C36,MINVERSE(MMULT(TRANSPOSE(D$3:E$30),D$3:E$30))),TRANSPOSE(B36:C36)))*s*t_crit</f>
        <v>4.9111456572812155</v>
      </c>
      <c r="F36" s="244">
        <f t="array" ref="F36">SQRT(1+MMULT(MMULT(B36:C36,MINVERSE(MMULT(TRANSPOSE(D$3:E$30),D$3:E$30))),TRANSPOSE(B36:C36)))*s*t_crit</f>
        <v>14.213207568288416</v>
      </c>
      <c r="G36" s="256">
        <f t="shared" si="6"/>
        <v>53.68334731355764</v>
      </c>
      <c r="H36" s="254">
        <f t="shared" si="7"/>
        <v>63.505638628120074</v>
      </c>
      <c r="I36" s="255">
        <f t="shared" si="8"/>
        <v>44.381285402550439</v>
      </c>
      <c r="J36" s="254">
        <f t="shared" si="9"/>
        <v>72.807700539127268</v>
      </c>
      <c r="K36" s="265" t="s">
        <v>86</v>
      </c>
      <c r="L36" s="264" t="s">
        <v>85</v>
      </c>
    </row>
    <row r="37" spans="1:17" ht="15" customHeight="1" x14ac:dyDescent="0.15">
      <c r="A37" s="259">
        <v>3</v>
      </c>
      <c r="B37" s="258">
        <v>1</v>
      </c>
      <c r="C37" s="257">
        <f t="shared" si="10"/>
        <v>-0.88640360279858665</v>
      </c>
      <c r="D37" s="254">
        <v>57.328049014006389</v>
      </c>
      <c r="E37" s="244">
        <f t="array" ref="E37">SQRT(MMULT(MMULT(B37:C37,MINVERSE(MMULT(TRANSPOSE(D$3:E$30),D$3:E$30))),TRANSPOSE(B37:C37)))*s*t_crit</f>
        <v>4.4064536598975241</v>
      </c>
      <c r="F37" s="244">
        <f t="array" ref="F37">SQRT(1+MMULT(MMULT(B37:C37,MINVERSE(MMULT(TRANSPOSE(D$3:E$30),D$3:E$30))),TRANSPOSE(B37:C37)))*s*t_crit</f>
        <v>14.046805742553833</v>
      </c>
      <c r="G37" s="256">
        <f t="shared" si="6"/>
        <v>52.921595354108867</v>
      </c>
      <c r="H37" s="254">
        <f t="shared" si="7"/>
        <v>61.734502673903911</v>
      </c>
      <c r="I37" s="255">
        <f t="shared" si="8"/>
        <v>43.281243271452553</v>
      </c>
      <c r="J37" s="254">
        <f t="shared" si="9"/>
        <v>71.374854756560225</v>
      </c>
      <c r="K37" s="263">
        <f t="array" ref="K37:K38">MMULT(MMULT(MINVERSE(MMULT(TRANSPOSE(D3:E30),D3:E30)),TRANSPOSE(D3:E30)),F3:F30)</f>
        <v>49.707142857142834</v>
      </c>
      <c r="L37" s="262">
        <f>MIN(F3:F30)</f>
        <v>31.727861247535976</v>
      </c>
    </row>
    <row r="38" spans="1:17" ht="15" customHeight="1" x14ac:dyDescent="0.15">
      <c r="A38" s="259">
        <v>4</v>
      </c>
      <c r="B38" s="258">
        <v>1</v>
      </c>
      <c r="C38" s="257">
        <f t="shared" si="10"/>
        <v>-0.73910084601712733</v>
      </c>
      <c r="D38" s="254">
        <v>56.061605057173921</v>
      </c>
      <c r="E38" s="244">
        <f t="array" ref="E38">SQRT(MMULT(MMULT(B38:C38,MINVERSE(MMULT(TRANSPOSE(D$3:E$30),D$3:E$30))),TRANSPOSE(B38:C38)))*s*t_crit</f>
        <v>3.9288459888939036</v>
      </c>
      <c r="F38" s="244">
        <f t="array" ref="F38">SQRT(1+MMULT(MMULT(B38:C38,MINVERSE(MMULT(TRANSPOSE(D$3:E$30),D$3:E$30))),TRANSPOSE(B38:C38)))*s*t_crit</f>
        <v>13.904378753352006</v>
      </c>
      <c r="G38" s="256">
        <f t="shared" si="6"/>
        <v>52.132759068280016</v>
      </c>
      <c r="H38" s="254">
        <f t="shared" si="7"/>
        <v>59.990451046067825</v>
      </c>
      <c r="I38" s="255">
        <f t="shared" si="8"/>
        <v>42.157226303821915</v>
      </c>
      <c r="J38" s="254">
        <f t="shared" si="9"/>
        <v>69.965983810525927</v>
      </c>
      <c r="K38" s="261">
        <v>-8.5975577409687265</v>
      </c>
      <c r="L38" s="260">
        <f>MAX(F3:F30)</f>
        <v>68.51439008743381</v>
      </c>
    </row>
    <row r="39" spans="1:17" ht="15" customHeight="1" x14ac:dyDescent="0.15">
      <c r="A39" s="259">
        <v>5</v>
      </c>
      <c r="B39" s="258">
        <v>1</v>
      </c>
      <c r="C39" s="257">
        <f t="shared" si="10"/>
        <v>-0.59179808923566801</v>
      </c>
      <c r="D39" s="254">
        <v>54.795161100341453</v>
      </c>
      <c r="E39" s="244">
        <f t="array" ref="E39">SQRT(MMULT(MMULT(B39:C39,MINVERSE(MMULT(TRANSPOSE(D$3:E$30),D$3:E$30))),TRANSPOSE(B39:C39)))*s*t_crit</f>
        <v>3.4894616361127153</v>
      </c>
      <c r="F39" s="244">
        <f t="array" ref="F39">SQRT(1+MMULT(MMULT(B39:C39,MINVERSE(MMULT(TRANSPOSE(D$3:E$30),D$3:E$30))),TRANSPOSE(B39:C39)))*s*t_crit</f>
        <v>13.786669656669135</v>
      </c>
      <c r="G39" s="256">
        <f t="shared" si="6"/>
        <v>51.305699464228738</v>
      </c>
      <c r="H39" s="254">
        <f t="shared" si="7"/>
        <v>58.284622736454168</v>
      </c>
      <c r="I39" s="255">
        <f t="shared" si="8"/>
        <v>41.00849144367232</v>
      </c>
      <c r="J39" s="254">
        <f t="shared" si="9"/>
        <v>68.581830757010593</v>
      </c>
      <c r="K39" s="246"/>
      <c r="L39" s="245"/>
    </row>
    <row r="40" spans="1:17" ht="15" customHeight="1" x14ac:dyDescent="0.15">
      <c r="A40" s="259">
        <v>6</v>
      </c>
      <c r="B40" s="258">
        <v>1</v>
      </c>
      <c r="C40" s="257">
        <f t="shared" si="10"/>
        <v>-0.44449533245420864</v>
      </c>
      <c r="D40" s="254">
        <v>53.528717143508985</v>
      </c>
      <c r="E40" s="244">
        <f t="array" ref="E40">SQRT(MMULT(MMULT(B40:C40,MINVERSE(MMULT(TRANSPOSE(D$3:E$30),D$3:E$30))),TRANSPOSE(B40:C40)))*s*t_crit</f>
        <v>3.10457226895887</v>
      </c>
      <c r="F40" s="244">
        <f t="array" ref="F40">SQRT(1+MMULT(MMULT(B40:C40,MINVERSE(MMULT(TRANSPOSE(D$3:E$30),D$3:E$30))),TRANSPOSE(B40:C40)))*s*t_crit</f>
        <v>13.694315853134373</v>
      </c>
      <c r="G40" s="256">
        <f t="shared" si="6"/>
        <v>50.424144874550116</v>
      </c>
      <c r="H40" s="254">
        <f t="shared" si="7"/>
        <v>56.633289412467853</v>
      </c>
      <c r="I40" s="255">
        <f t="shared" si="8"/>
        <v>39.834401290374615</v>
      </c>
      <c r="J40" s="254">
        <f t="shared" si="9"/>
        <v>67.223032996643354</v>
      </c>
      <c r="K40" s="246"/>
      <c r="L40" s="245"/>
    </row>
    <row r="41" spans="1:17" ht="15" customHeight="1" x14ac:dyDescent="0.15">
      <c r="A41" s="259">
        <v>7</v>
      </c>
      <c r="B41" s="258">
        <v>1</v>
      </c>
      <c r="C41" s="257">
        <f t="shared" si="10"/>
        <v>-0.29719257567274926</v>
      </c>
      <c r="D41" s="254">
        <v>52.262273186676516</v>
      </c>
      <c r="E41" s="244">
        <f t="array" ref="E41">SQRT(MMULT(MMULT(B41:C41,MINVERSE(MMULT(TRANSPOSE(D$3:E$30),D$3:E$30))),TRANSPOSE(B41:C41)))*s*t_crit</f>
        <v>2.7967678120118782</v>
      </c>
      <c r="F41" s="244">
        <f t="array" ref="F41">SQRT(1+MMULT(MMULT(B41:C41,MINVERSE(MMULT(TRANSPOSE(D$3:E$30),D$3:E$30))),TRANSPOSE(B41:C41)))*s*t_crit</f>
        <v>13.627832839689688</v>
      </c>
      <c r="G41" s="256">
        <f t="shared" si="6"/>
        <v>49.465505374664637</v>
      </c>
      <c r="H41" s="254">
        <f t="shared" si="7"/>
        <v>55.059040998688396</v>
      </c>
      <c r="I41" s="255">
        <f t="shared" si="8"/>
        <v>38.634440346986828</v>
      </c>
      <c r="J41" s="254">
        <f t="shared" si="9"/>
        <v>65.890106026366198</v>
      </c>
      <c r="K41" s="246"/>
      <c r="L41" s="245"/>
    </row>
    <row r="42" spans="1:17" ht="15" customHeight="1" x14ac:dyDescent="0.15">
      <c r="A42" s="259">
        <v>8</v>
      </c>
      <c r="B42" s="258">
        <v>1</v>
      </c>
      <c r="C42" s="257">
        <f t="shared" si="10"/>
        <v>-0.14988981889128988</v>
      </c>
      <c r="D42" s="254">
        <v>50.995829229844041</v>
      </c>
      <c r="E42" s="244">
        <f t="array" ref="E42">SQRT(MMULT(MMULT(B42:C42,MINVERSE(MMULT(TRANSPOSE(D$3:E$30),D$3:E$30))),TRANSPOSE(B42:C42)))*s*t_crit</f>
        <v>2.5936395611677194</v>
      </c>
      <c r="F42" s="244">
        <f t="array" ref="F42">SQRT(1+MMULT(MMULT(B42:C42,MINVERSE(MMULT(TRANSPOSE(D$3:E$30),D$3:E$30))),TRANSPOSE(B42:C42)))*s*t_crit</f>
        <v>13.587600372599766</v>
      </c>
      <c r="G42" s="256">
        <f t="shared" si="6"/>
        <v>48.402189668676321</v>
      </c>
      <c r="H42" s="254">
        <f t="shared" si="7"/>
        <v>53.589468791011761</v>
      </c>
      <c r="I42" s="255">
        <f t="shared" si="8"/>
        <v>37.408228857244275</v>
      </c>
      <c r="J42" s="254">
        <f t="shared" si="9"/>
        <v>64.5834296024438</v>
      </c>
      <c r="K42" s="246"/>
      <c r="L42" s="245"/>
    </row>
    <row r="43" spans="1:17" ht="15" customHeight="1" x14ac:dyDescent="0.15">
      <c r="A43" s="259">
        <v>9</v>
      </c>
      <c r="B43" s="258">
        <v>1</v>
      </c>
      <c r="C43" s="257">
        <f t="shared" si="10"/>
        <v>-2.5870621098305069E-3</v>
      </c>
      <c r="D43" s="254">
        <v>49.729385273011573</v>
      </c>
      <c r="E43" s="244">
        <f t="array" ref="E43">SQRT(MMULT(MMULT(B43:C43,MINVERSE(MMULT(TRANSPOSE(D$3:E$30),D$3:E$30))),TRANSPOSE(B43:C43)))*s*t_crit</f>
        <v>2.5206223259413805</v>
      </c>
      <c r="F43" s="244">
        <f t="array" ref="F43">SQRT(1+MMULT(MMULT(B43:C43,MINVERSE(MMULT(TRANSPOSE(D$3:E$30),D$3:E$30))),TRANSPOSE(B43:C43)))*s*t_crit</f>
        <v>13.573851871235856</v>
      </c>
      <c r="G43" s="256">
        <f t="shared" si="6"/>
        <v>47.208762947070191</v>
      </c>
      <c r="H43" s="254">
        <f t="shared" si="7"/>
        <v>52.250007598952955</v>
      </c>
      <c r="I43" s="255">
        <f t="shared" si="8"/>
        <v>36.155533401775713</v>
      </c>
      <c r="J43" s="254">
        <f t="shared" si="9"/>
        <v>63.303237144247433</v>
      </c>
      <c r="K43" s="246"/>
      <c r="L43" s="245"/>
    </row>
    <row r="44" spans="1:17" ht="15" customHeight="1" x14ac:dyDescent="0.15">
      <c r="A44" s="259">
        <v>10</v>
      </c>
      <c r="B44" s="258">
        <v>1</v>
      </c>
      <c r="C44" s="257">
        <f t="shared" si="10"/>
        <v>0.14471569467162887</v>
      </c>
      <c r="D44" s="254">
        <v>48.462941316179105</v>
      </c>
      <c r="E44" s="244">
        <f t="array" ref="E44">SQRT(MMULT(MMULT(B44:C44,MINVERSE(MMULT(TRANSPOSE(D$3:E$30),D$3:E$30))),TRANSPOSE(B44:C44)))*s*t_crit</f>
        <v>2.5887491969376399</v>
      </c>
      <c r="F44" s="244">
        <f t="array" ref="F44">SQRT(1+MMULT(MMULT(B44:C44,MINVERSE(MMULT(TRANSPOSE(D$3:E$30),D$3:E$30))),TRANSPOSE(B44:C44)))*s*t_crit</f>
        <v>13.586667734101113</v>
      </c>
      <c r="G44" s="256">
        <f t="shared" si="6"/>
        <v>45.874192119241464</v>
      </c>
      <c r="H44" s="254">
        <f t="shared" si="7"/>
        <v>51.051690513116746</v>
      </c>
      <c r="I44" s="255">
        <f t="shared" si="8"/>
        <v>34.876273582077992</v>
      </c>
      <c r="J44" s="254">
        <f t="shared" si="9"/>
        <v>62.049609050280218</v>
      </c>
      <c r="K44" s="246"/>
      <c r="L44" s="245"/>
    </row>
    <row r="45" spans="1:17" ht="15" customHeight="1" x14ac:dyDescent="0.15">
      <c r="A45" s="259">
        <v>11</v>
      </c>
      <c r="B45" s="258">
        <v>1</v>
      </c>
      <c r="C45" s="257">
        <f t="shared" si="10"/>
        <v>0.29201845145308825</v>
      </c>
      <c r="D45" s="254">
        <v>47.196497359346637</v>
      </c>
      <c r="E45" s="244">
        <f t="array" ref="E45">SQRT(MMULT(MMULT(B45:C45,MINVERSE(MMULT(TRANSPOSE(D$3:E$30),D$3:E$30))),TRANSPOSE(B45:C45)))*s*t_crit</f>
        <v>2.7876912772198619</v>
      </c>
      <c r="F45" s="244">
        <f t="array" ref="F45">SQRT(1+MMULT(MMULT(B45:C45,MINVERSE(MMULT(TRANSPOSE(D$3:E$30),D$3:E$30))),TRANSPOSE(B45:C45)))*s*t_crit</f>
        <v>13.625973006332673</v>
      </c>
      <c r="G45" s="256">
        <f t="shared" si="6"/>
        <v>44.408806082126773</v>
      </c>
      <c r="H45" s="254">
        <f t="shared" si="7"/>
        <v>49.9841886365665</v>
      </c>
      <c r="I45" s="255">
        <f t="shared" si="8"/>
        <v>33.570524353013965</v>
      </c>
      <c r="J45" s="254">
        <f t="shared" si="9"/>
        <v>60.822470365679308</v>
      </c>
      <c r="K45" s="246"/>
      <c r="L45" s="245"/>
    </row>
    <row r="46" spans="1:17" ht="15" customHeight="1" x14ac:dyDescent="0.2">
      <c r="A46" s="259">
        <v>12</v>
      </c>
      <c r="B46" s="258">
        <v>1</v>
      </c>
      <c r="C46" s="257">
        <f t="shared" si="10"/>
        <v>0.43932120823454762</v>
      </c>
      <c r="D46" s="254">
        <v>45.930053402514169</v>
      </c>
      <c r="E46" s="244">
        <f t="array" ref="E46">SQRT(MMULT(MMULT(B46:C46,MINVERSE(MMULT(TRANSPOSE(D$3:E$30),D$3:E$30))),TRANSPOSE(B46:C46)))*s*t_crit</f>
        <v>3.0923029714698749</v>
      </c>
      <c r="F46" s="244">
        <f t="array" ref="F46">SQRT(1+MMULT(MMULT(B46:C46,MINVERSE(MMULT(TRANSPOSE(D$3:E$30),D$3:E$30))),TRANSPOSE(B46:C46)))*s*t_crit</f>
        <v>13.691539554760832</v>
      </c>
      <c r="G46" s="256">
        <f t="shared" si="6"/>
        <v>42.837750431044292</v>
      </c>
      <c r="H46" s="254">
        <f t="shared" si="7"/>
        <v>49.022356373984046</v>
      </c>
      <c r="I46" s="255">
        <f t="shared" si="8"/>
        <v>32.238513847753339</v>
      </c>
      <c r="J46" s="254">
        <f t="shared" si="9"/>
        <v>59.621592957274999</v>
      </c>
      <c r="K46" s="246"/>
      <c r="L46" s="245"/>
      <c r="M46" s="1553" t="s">
        <v>95</v>
      </c>
      <c r="N46" s="1553"/>
      <c r="O46" s="244"/>
      <c r="P46" s="243"/>
      <c r="Q46" s="242"/>
    </row>
    <row r="47" spans="1:17" ht="15" customHeight="1" x14ac:dyDescent="0.2">
      <c r="A47" s="259">
        <v>13</v>
      </c>
      <c r="B47" s="258">
        <v>1</v>
      </c>
      <c r="C47" s="257">
        <f t="shared" si="10"/>
        <v>0.586623965016007</v>
      </c>
      <c r="D47" s="254">
        <v>44.663609445681693</v>
      </c>
      <c r="E47" s="244">
        <f t="array" ref="E47">SQRT(MMULT(MMULT(B47:C47,MINVERSE(MMULT(TRANSPOSE(D$3:E$30),D$3:E$30))),TRANSPOSE(B47:C47)))*s*t_crit</f>
        <v>3.4749053851099916</v>
      </c>
      <c r="F47" s="244">
        <f t="array" ref="F47">SQRT(1+MMULT(MMULT(B47:C47,MINVERSE(MMULT(TRANSPOSE(D$3:E$30),D$3:E$30))),TRANSPOSE(B47:C47)))*s*t_crit</f>
        <v>13.782992604934728</v>
      </c>
      <c r="G47" s="256">
        <f t="shared" si="6"/>
        <v>41.188704060571702</v>
      </c>
      <c r="H47" s="254">
        <f t="shared" si="7"/>
        <v>48.138514830791685</v>
      </c>
      <c r="I47" s="255">
        <f t="shared" si="8"/>
        <v>30.880616840746967</v>
      </c>
      <c r="J47" s="254">
        <f t="shared" si="9"/>
        <v>58.44660205061642</v>
      </c>
      <c r="K47" s="246"/>
      <c r="L47" s="245"/>
      <c r="M47" s="144" t="e">
        <f ca="1">CONCATENATE(IF(N16=1, "FS",IF(N17=1,"O2",IF(N18=1,"FGR",IF(N19=1,"OFA",IF(N20=1,"O2 x O2"))))),", ",TEXT(IF(N16=1, M49,IF(N17=1,M50,IF(N18=1,M51,IF(N19=1,M52,IF(N20=1,M53))))),"0.0000"))</f>
        <v>#NAME?</v>
      </c>
      <c r="O47" s="244"/>
      <c r="P47" s="243"/>
      <c r="Q47" s="242"/>
    </row>
    <row r="48" spans="1:17" ht="15" customHeight="1" x14ac:dyDescent="0.2">
      <c r="A48" s="259">
        <v>14</v>
      </c>
      <c r="B48" s="258">
        <v>1</v>
      </c>
      <c r="C48" s="257">
        <f t="shared" si="10"/>
        <v>0.73392672179746632</v>
      </c>
      <c r="D48" s="254">
        <v>43.397165488849225</v>
      </c>
      <c r="E48" s="244">
        <f t="array" ref="E48">SQRT(MMULT(MMULT(B48:C48,MINVERSE(MMULT(TRANSPOSE(D$3:E$30),D$3:E$30))),TRANSPOSE(B48:C48)))*s*t_crit</f>
        <v>3.9126860289835048</v>
      </c>
      <c r="F48" s="244">
        <f t="array" ref="F48">SQRT(1+MMULT(MMULT(B48:C48,MINVERSE(MMULT(TRANSPOSE(D$3:E$30),D$3:E$30))),TRANSPOSE(B48:C48)))*s*t_crit</f>
        <v>13.899821210131506</v>
      </c>
      <c r="G48" s="256">
        <f t="shared" si="6"/>
        <v>39.484479459865717</v>
      </c>
      <c r="H48" s="254">
        <f t="shared" si="7"/>
        <v>47.309851517832733</v>
      </c>
      <c r="I48" s="255">
        <f t="shared" si="8"/>
        <v>29.497344278717719</v>
      </c>
      <c r="J48" s="254">
        <f t="shared" si="9"/>
        <v>57.296986698980731</v>
      </c>
      <c r="K48" s="246"/>
      <c r="L48" s="245"/>
      <c r="M48" s="343" t="e">
        <f t="shared" ref="M48:M53" ca="1" si="11">IF(T15&lt;0.0001,"p &lt; 0.0001",CONCATENATE("p = ",TEXT(TDIST(ABS(S15),DFR,2),"0.0000")))</f>
        <v>#NAME?</v>
      </c>
      <c r="N48" s="144"/>
      <c r="O48" s="244"/>
      <c r="P48" s="243"/>
      <c r="Q48" s="242"/>
    </row>
    <row r="49" spans="1:20" ht="15" customHeight="1" x14ac:dyDescent="0.2">
      <c r="A49" s="259">
        <v>15</v>
      </c>
      <c r="B49" s="258">
        <v>1</v>
      </c>
      <c r="C49" s="257">
        <f t="shared" si="10"/>
        <v>0.88122947857892564</v>
      </c>
      <c r="D49" s="254">
        <v>42.130721532016757</v>
      </c>
      <c r="E49" s="244">
        <f t="array" ref="E49">SQRT(MMULT(MMULT(B49:C49,MINVERSE(MMULT(TRANSPOSE(D$3:E$30),D$3:E$30))),TRANSPOSE(B49:C49)))*s*t_crit</f>
        <v>4.3891652105121635</v>
      </c>
      <c r="F49" s="244">
        <f t="array" ref="F49">SQRT(1+MMULT(MMULT(B49:C49,MINVERSE(MMULT(TRANSPOSE(D$3:E$30),D$3:E$30))),TRANSPOSE(B49:C49)))*s*t_crit</f>
        <v>14.041391987883156</v>
      </c>
      <c r="G49" s="256">
        <f t="shared" si="6"/>
        <v>37.741556321504596</v>
      </c>
      <c r="H49" s="254">
        <f t="shared" si="7"/>
        <v>46.519886742528918</v>
      </c>
      <c r="I49" s="255">
        <f t="shared" si="8"/>
        <v>28.089329544133602</v>
      </c>
      <c r="J49" s="254">
        <f t="shared" si="9"/>
        <v>56.172113519899909</v>
      </c>
      <c r="K49" s="246"/>
      <c r="L49" s="245"/>
      <c r="M49" s="343" t="e">
        <f t="shared" ca="1" si="11"/>
        <v>#NAME?</v>
      </c>
      <c r="N49" s="144"/>
      <c r="O49" s="244"/>
      <c r="P49" s="243"/>
      <c r="Q49" s="242"/>
      <c r="T49" s="241">
        <v>5</v>
      </c>
    </row>
    <row r="50" spans="1:20" ht="15" customHeight="1" x14ac:dyDescent="0.2">
      <c r="A50" s="259">
        <v>16</v>
      </c>
      <c r="B50" s="258">
        <v>1</v>
      </c>
      <c r="C50" s="257">
        <f t="shared" si="10"/>
        <v>1.028532235360385</v>
      </c>
      <c r="D50" s="254">
        <v>40.864277575184289</v>
      </c>
      <c r="E50" s="244">
        <f t="array" ref="E50">SQRT(MMULT(MMULT(B50:C50,MINVERSE(MMULT(TRANSPOSE(D$3:E$30),D$3:E$30))),TRANSPOSE(B50:C50)))*s*t_crit</f>
        <v>4.8930507136927508</v>
      </c>
      <c r="F50" s="244">
        <f t="array" ref="F50">SQRT(1+MMULT(MMULT(B50:C50,MINVERSE(MMULT(TRANSPOSE(D$3:E$30),D$3:E$30))),TRANSPOSE(B50:C50)))*s*t_crit</f>
        <v>14.206965298718378</v>
      </c>
      <c r="G50" s="256">
        <f t="shared" si="6"/>
        <v>35.971226861491537</v>
      </c>
      <c r="H50" s="254">
        <f t="shared" si="7"/>
        <v>45.757328288877041</v>
      </c>
      <c r="I50" s="255">
        <f t="shared" si="8"/>
        <v>26.657312276465909</v>
      </c>
      <c r="J50" s="254">
        <f t="shared" si="9"/>
        <v>55.071242873902669</v>
      </c>
      <c r="K50" s="246"/>
      <c r="L50" s="245"/>
      <c r="M50" s="343" t="e">
        <f t="shared" ca="1" si="11"/>
        <v>#NAME?</v>
      </c>
      <c r="N50" s="144"/>
      <c r="O50" s="244"/>
      <c r="P50" s="243"/>
      <c r="Q50" s="242"/>
    </row>
    <row r="51" spans="1:20" ht="15" customHeight="1" x14ac:dyDescent="0.2">
      <c r="A51" s="259">
        <v>17</v>
      </c>
      <c r="B51" s="258">
        <v>1</v>
      </c>
      <c r="C51" s="257">
        <f t="shared" si="10"/>
        <v>1.1758349921418443</v>
      </c>
      <c r="D51" s="254">
        <v>39.597833618351821</v>
      </c>
      <c r="E51" s="244">
        <f t="array" ref="E51">SQRT(MMULT(MMULT(B51:C51,MINVERSE(MMULT(TRANSPOSE(D$3:E$30),D$3:E$30))),TRANSPOSE(B51:C51)))*s*t_crit</f>
        <v>5.4166995565749527</v>
      </c>
      <c r="F51" s="244">
        <f t="array" ref="F51">SQRT(1+MMULT(MMULT(B51:C51,MINVERSE(MMULT(TRANSPOSE(D$3:E$30),D$3:E$30))),TRANSPOSE(B51:C51)))*s*t_crit</f>
        <v>14.395712965963797</v>
      </c>
      <c r="G51" s="256">
        <f t="shared" si="6"/>
        <v>34.181134061776866</v>
      </c>
      <c r="H51" s="254">
        <f t="shared" si="7"/>
        <v>45.014533174926775</v>
      </c>
      <c r="I51" s="255">
        <f t="shared" si="8"/>
        <v>25.202120652388025</v>
      </c>
      <c r="J51" s="254">
        <f t="shared" si="9"/>
        <v>53.993546584315617</v>
      </c>
      <c r="K51" s="246"/>
      <c r="L51" s="245"/>
      <c r="M51" s="343" t="e">
        <f t="shared" ca="1" si="11"/>
        <v>#NAME?</v>
      </c>
      <c r="N51" s="144"/>
      <c r="O51" s="244"/>
      <c r="P51" s="243"/>
      <c r="Q51" s="242"/>
    </row>
    <row r="52" spans="1:20" ht="15" customHeight="1" x14ac:dyDescent="0.2">
      <c r="A52" s="259">
        <v>18</v>
      </c>
      <c r="B52" s="258">
        <v>1</v>
      </c>
      <c r="C52" s="257">
        <f t="shared" si="10"/>
        <v>1.3231377489233036</v>
      </c>
      <c r="D52" s="254">
        <v>38.331389661519353</v>
      </c>
      <c r="E52" s="244">
        <f t="array" ref="E52">SQRT(MMULT(MMULT(B52:C52,MINVERSE(MMULT(TRANSPOSE(D$3:E$30),D$3:E$30))),TRANSPOSE(B52:C52)))*s*t_crit</f>
        <v>5.9549003050815807</v>
      </c>
      <c r="F52" s="244">
        <f t="array" ref="F52">SQRT(1+MMULT(MMULT(B52:C52,MINVERSE(MMULT(TRANSPOSE(D$3:E$30),D$3:E$30))),TRANSPOSE(B52:C52)))*s*t_crit</f>
        <v>14.60673664292198</v>
      </c>
      <c r="G52" s="256">
        <f t="shared" si="6"/>
        <v>32.376489356437773</v>
      </c>
      <c r="H52" s="254">
        <f t="shared" si="7"/>
        <v>44.286289966600933</v>
      </c>
      <c r="I52" s="255">
        <f t="shared" si="8"/>
        <v>23.724653018597373</v>
      </c>
      <c r="J52" s="254">
        <f t="shared" si="9"/>
        <v>52.938126304441333</v>
      </c>
      <c r="K52" s="246"/>
      <c r="L52" s="245"/>
      <c r="M52" s="343" t="e">
        <f t="shared" ca="1" si="11"/>
        <v>#NAME?</v>
      </c>
      <c r="N52" s="144"/>
      <c r="O52" s="244"/>
      <c r="P52" s="243"/>
      <c r="Q52" s="242"/>
    </row>
    <row r="53" spans="1:20" ht="15" customHeight="1" x14ac:dyDescent="0.2">
      <c r="A53" s="259">
        <v>19</v>
      </c>
      <c r="B53" s="258">
        <v>1</v>
      </c>
      <c r="C53" s="257">
        <f t="shared" si="10"/>
        <v>1.4704405057047629</v>
      </c>
      <c r="D53" s="254">
        <v>37.064945704686878</v>
      </c>
      <c r="E53" s="244">
        <f t="array" ref="E53">SQRT(MMULT(MMULT(B53:C53,MINVERSE(MMULT(TRANSPOSE(D$3:E$30),D$3:E$30))),TRANSPOSE(B53:C53)))*s*t_crit</f>
        <v>6.5040415095964317</v>
      </c>
      <c r="F53" s="244">
        <f t="array" ref="F53">SQRT(1+MMULT(MMULT(B53:C53,MINVERSE(MMULT(TRANSPOSE(D$3:E$30),D$3:E$30))),TRANSPOSE(B53:C53)))*s*t_crit</f>
        <v>14.839086011974336</v>
      </c>
      <c r="G53" s="256">
        <f t="shared" si="6"/>
        <v>30.560904195090444</v>
      </c>
      <c r="H53" s="254">
        <f t="shared" si="7"/>
        <v>43.568987214283311</v>
      </c>
      <c r="I53" s="255">
        <f t="shared" si="8"/>
        <v>22.22585969271254</v>
      </c>
      <c r="J53" s="254">
        <f t="shared" si="9"/>
        <v>51.904031716661216</v>
      </c>
      <c r="K53" s="246"/>
      <c r="L53" s="245"/>
      <c r="M53" s="343" t="e">
        <f t="shared" ca="1" si="11"/>
        <v>#NAME?</v>
      </c>
      <c r="N53" s="144"/>
      <c r="O53" s="244"/>
      <c r="P53" s="243"/>
      <c r="Q53" s="242"/>
    </row>
    <row r="54" spans="1:20" ht="15" customHeight="1" x14ac:dyDescent="0.15">
      <c r="A54" s="259">
        <v>20</v>
      </c>
      <c r="B54" s="258">
        <v>1</v>
      </c>
      <c r="C54" s="257">
        <f t="shared" si="10"/>
        <v>1.6177432624862222</v>
      </c>
      <c r="D54" s="254">
        <v>35.798501747854409</v>
      </c>
      <c r="E54" s="244">
        <f t="array" ref="E54">SQRT(MMULT(MMULT(B54:C54,MINVERSE(MMULT(TRANSPOSE(D$3:E$30),D$3:E$30))),TRANSPOSE(B54:C54)))*s*t_crit</f>
        <v>7.0615712862986406</v>
      </c>
      <c r="F54" s="244">
        <f t="array" ref="F54">SQRT(1+MMULT(MMULT(B54:C54,MINVERSE(MMULT(TRANSPOSE(D$3:E$30),D$3:E$30))),TRANSPOSE(B54:C54)))*s*t_crit</f>
        <v>15.091776129524863</v>
      </c>
      <c r="G54" s="256">
        <f t="shared" si="6"/>
        <v>28.736930461555769</v>
      </c>
      <c r="H54" s="254">
        <f t="shared" si="7"/>
        <v>42.860073034153046</v>
      </c>
      <c r="I54" s="255">
        <f t="shared" si="8"/>
        <v>20.706725618329546</v>
      </c>
      <c r="J54" s="254">
        <f t="shared" si="9"/>
        <v>50.890277877379276</v>
      </c>
      <c r="K54" s="246"/>
      <c r="L54" s="245"/>
      <c r="M54" s="241" t="e">
        <f ca="1">CONCATENATE("Leverage Plot, ",M47)</f>
        <v>#NAME?</v>
      </c>
      <c r="O54" s="244"/>
      <c r="P54" s="243"/>
      <c r="Q54" s="242"/>
    </row>
    <row r="55" spans="1:20" ht="15" customHeight="1" x14ac:dyDescent="0.15">
      <c r="A55" s="253">
        <v>21</v>
      </c>
      <c r="B55" s="252">
        <v>1</v>
      </c>
      <c r="C55" s="251">
        <f>MAX(E3:E30)</f>
        <v>1.765046019267682</v>
      </c>
      <c r="D55" s="247">
        <v>34.532057791021941</v>
      </c>
      <c r="E55" s="250">
        <f t="array" ref="E55">SQRT(MMULT(MMULT(B55:C55,MINVERSE(MMULT(TRANSPOSE(D$3:E$30),D$3:E$30))),TRANSPOSE(B55:C55)))*s*t_crit</f>
        <v>7.6256499304802032</v>
      </c>
      <c r="F55" s="250">
        <f t="array" ref="F55">SQRT(1+MMULT(MMULT(B55:C55,MINVERSE(MMULT(TRANSPOSE(D$3:E$30),D$3:E$30))),TRANSPOSE(B55:C55)))*s*t_crit</f>
        <v>15.363803388954564</v>
      </c>
      <c r="G55" s="249">
        <f t="shared" si="6"/>
        <v>26.906407860541737</v>
      </c>
      <c r="H55" s="247">
        <f t="shared" si="7"/>
        <v>42.157707721502142</v>
      </c>
      <c r="I55" s="248">
        <f t="shared" si="8"/>
        <v>19.168254402067376</v>
      </c>
      <c r="J55" s="247">
        <f t="shared" si="9"/>
        <v>49.895861179976507</v>
      </c>
      <c r="K55" s="246"/>
      <c r="L55" s="245"/>
      <c r="M55" s="241" t="str">
        <f>CONCATENATE(M46," Leverage")</f>
        <v>22. O2 x O2 Leverage</v>
      </c>
      <c r="O55" s="244"/>
      <c r="P55" s="243"/>
      <c r="Q55" s="242"/>
    </row>
    <row r="56" spans="1:20" ht="15" customHeight="1" x14ac:dyDescent="0.2">
      <c r="K56" s="246"/>
      <c r="L56" s="245"/>
      <c r="M56"/>
      <c r="N56"/>
      <c r="O56" s="244"/>
      <c r="P56" s="243"/>
      <c r="Q56" s="242"/>
    </row>
    <row r="57" spans="1:20" ht="15" customHeight="1" x14ac:dyDescent="0.2">
      <c r="K57" s="246"/>
      <c r="L57" s="245"/>
    </row>
    <row r="58" spans="1:20" ht="15" customHeight="1" x14ac:dyDescent="0.2">
      <c r="K58" s="246"/>
      <c r="L58" s="245"/>
    </row>
    <row r="59" spans="1:20" ht="15" customHeight="1" x14ac:dyDescent="0.2">
      <c r="K59" s="246"/>
      <c r="L59" s="245"/>
    </row>
    <row r="60" spans="1:20" ht="15" customHeight="1" x14ac:dyDescent="0.2">
      <c r="K60" s="246"/>
      <c r="L60" s="245"/>
    </row>
    <row r="61" spans="1:20" ht="15" customHeight="1" x14ac:dyDescent="0.2">
      <c r="K61" s="246"/>
      <c r="L61" s="245"/>
    </row>
    <row r="62" spans="1:20" ht="15" customHeight="1" x14ac:dyDescent="0.2">
      <c r="K62" s="246"/>
      <c r="L62" s="245"/>
    </row>
    <row r="63" spans="1:20" ht="15" customHeight="1" x14ac:dyDescent="0.2">
      <c r="K63" s="246"/>
      <c r="L63" s="245"/>
    </row>
    <row r="64" spans="1:20" ht="15" customHeight="1" x14ac:dyDescent="0.2">
      <c r="K64" s="246"/>
      <c r="L64" s="245"/>
    </row>
  </sheetData>
  <mergeCells count="8">
    <mergeCell ref="S1:S2"/>
    <mergeCell ref="M13:R13"/>
    <mergeCell ref="M46:N46"/>
    <mergeCell ref="A33:J33"/>
    <mergeCell ref="D1:F1"/>
    <mergeCell ref="A1:C1"/>
    <mergeCell ref="G1:L1"/>
    <mergeCell ref="M1:R1"/>
  </mergeCells>
  <dataValidations count="1">
    <dataValidation type="list" allowBlank="1" showInputMessage="1" showErrorMessage="1" sqref="M46" xr:uid="{5811338F-EF9C-0445-8491-612C0574DD19}">
      <formula1>$M$16:$M$20</formula1>
    </dataValidation>
  </dataValidations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80CF2-76FE-984F-9A27-AF1B54DA643F}">
  <dimension ref="A1:G9"/>
  <sheetViews>
    <sheetView showGridLines="0" workbookViewId="0">
      <selection activeCell="M5" sqref="M5"/>
    </sheetView>
  </sheetViews>
  <sheetFormatPr baseColWidth="10" defaultColWidth="6.6640625" defaultRowHeight="15" x14ac:dyDescent="0.2"/>
  <cols>
    <col min="1" max="16384" width="6.6640625" style="1142"/>
  </cols>
  <sheetData>
    <row r="1" spans="1:7" ht="17" x14ac:dyDescent="0.2">
      <c r="A1" s="1136" t="s">
        <v>47</v>
      </c>
      <c r="B1" s="1137" t="s">
        <v>560</v>
      </c>
      <c r="C1" s="1138" t="s">
        <v>183</v>
      </c>
      <c r="D1" s="1139" t="s">
        <v>43</v>
      </c>
      <c r="E1" s="1140" t="s">
        <v>561</v>
      </c>
      <c r="F1" s="1139" t="s">
        <v>562</v>
      </c>
      <c r="G1" s="1141" t="s">
        <v>563</v>
      </c>
    </row>
    <row r="2" spans="1:7" x14ac:dyDescent="0.2">
      <c r="A2" s="1143" t="s">
        <v>564</v>
      </c>
      <c r="B2" s="1144" t="e">
        <f t="array" ref="B2:B9">MMULT(INV_XTX,XTy)</f>
        <v>#VALUE!</v>
      </c>
      <c r="C2" s="1148" t="e">
        <f t="array" aca="1" ref="C2:C9" ca="1">SQRT(MSR*[8]!DIAG(INV_XTX))</f>
        <v>#NAME?</v>
      </c>
      <c r="D2" s="1152" t="e">
        <f t="shared" ref="D2:D9" ca="1" si="0">(B2/C2)</f>
        <v>#VALUE!</v>
      </c>
      <c r="E2" s="1153" t="e">
        <f t="shared" ref="E2:E9" ca="1" si="1">_xlfn.T.DIST.2T(ABS(D2),DFR)</f>
        <v>#VALUE!</v>
      </c>
      <c r="F2" s="1154" t="e">
        <f t="shared" ref="F2:F9" ca="1" si="2">1-G2</f>
        <v>#NAME?</v>
      </c>
      <c r="G2" s="1154" t="e">
        <f ca="1">[8]!REG_POWER(D2^2,DFR,1,0,0.05)</f>
        <v>#NAME?</v>
      </c>
    </row>
    <row r="3" spans="1:7" x14ac:dyDescent="0.2">
      <c r="A3" s="1155" t="s">
        <v>565</v>
      </c>
      <c r="B3" s="1145" t="e">
        <v>#VALUE!</v>
      </c>
      <c r="C3" s="1149" t="e">
        <f ca="1"/>
        <v>#NAME?</v>
      </c>
      <c r="D3" s="1156" t="e">
        <f t="shared" ca="1" si="0"/>
        <v>#VALUE!</v>
      </c>
      <c r="E3" s="1157" t="e">
        <f t="shared" ca="1" si="1"/>
        <v>#VALUE!</v>
      </c>
      <c r="F3" s="1158" t="e">
        <f t="shared" ca="1" si="2"/>
        <v>#NAME?</v>
      </c>
      <c r="G3" s="1158" t="e">
        <f ca="1">[8]!REG_POWER(D3^2,DFR,1,0,0.05)</f>
        <v>#NAME?</v>
      </c>
    </row>
    <row r="4" spans="1:7" x14ac:dyDescent="0.2">
      <c r="A4" s="1155" t="s">
        <v>566</v>
      </c>
      <c r="B4" s="1145" t="e">
        <v>#VALUE!</v>
      </c>
      <c r="C4" s="1149" t="e">
        <f ca="1"/>
        <v>#NAME?</v>
      </c>
      <c r="D4" s="1156" t="e">
        <f t="shared" ca="1" si="0"/>
        <v>#VALUE!</v>
      </c>
      <c r="E4" s="1157" t="e">
        <f t="shared" ca="1" si="1"/>
        <v>#VALUE!</v>
      </c>
      <c r="F4" s="1158" t="e">
        <f t="shared" ca="1" si="2"/>
        <v>#NAME?</v>
      </c>
      <c r="G4" s="1158" t="e">
        <f ca="1">[8]!REG_POWER(D4^2,DFR,1,0,0.05)</f>
        <v>#NAME?</v>
      </c>
    </row>
    <row r="5" spans="1:7" x14ac:dyDescent="0.2">
      <c r="A5" s="1155" t="s">
        <v>567</v>
      </c>
      <c r="B5" s="1145" t="e">
        <v>#VALUE!</v>
      </c>
      <c r="C5" s="1149" t="e">
        <f ca="1"/>
        <v>#NAME?</v>
      </c>
      <c r="D5" s="1156" t="e">
        <f t="shared" ca="1" si="0"/>
        <v>#VALUE!</v>
      </c>
      <c r="E5" s="1157" t="e">
        <f t="shared" ca="1" si="1"/>
        <v>#VALUE!</v>
      </c>
      <c r="F5" s="1158" t="e">
        <f t="shared" ca="1" si="2"/>
        <v>#NAME?</v>
      </c>
      <c r="G5" s="1158" t="e">
        <f ca="1">[8]!REG_POWER(D5^2,DFR,1,0,0.05)</f>
        <v>#NAME?</v>
      </c>
    </row>
    <row r="6" spans="1:7" x14ac:dyDescent="0.2">
      <c r="A6" s="1155" t="s">
        <v>568</v>
      </c>
      <c r="B6" s="1145" t="e">
        <v>#VALUE!</v>
      </c>
      <c r="C6" s="1149" t="e">
        <f ca="1"/>
        <v>#NAME?</v>
      </c>
      <c r="D6" s="1156" t="e">
        <f t="shared" ca="1" si="0"/>
        <v>#VALUE!</v>
      </c>
      <c r="E6" s="1157" t="e">
        <f t="shared" ca="1" si="1"/>
        <v>#VALUE!</v>
      </c>
      <c r="F6" s="1158" t="e">
        <f t="shared" ca="1" si="2"/>
        <v>#NAME?</v>
      </c>
      <c r="G6" s="1158" t="e">
        <f ca="1">[8]!REG_POWER(D6^2,DFR,1,0,0.05)</f>
        <v>#NAME?</v>
      </c>
    </row>
    <row r="7" spans="1:7" x14ac:dyDescent="0.2">
      <c r="A7" s="1140" t="s">
        <v>569</v>
      </c>
      <c r="B7" s="1146" t="e">
        <v>#VALUE!</v>
      </c>
      <c r="C7" s="1150" t="e">
        <f ca="1"/>
        <v>#NAME?</v>
      </c>
      <c r="D7" s="1159" t="e">
        <f t="shared" ca="1" si="0"/>
        <v>#VALUE!</v>
      </c>
      <c r="E7" s="1160" t="e">
        <f t="shared" ca="1" si="1"/>
        <v>#VALUE!</v>
      </c>
      <c r="F7" s="1161" t="e">
        <f t="shared" ca="1" si="2"/>
        <v>#NAME?</v>
      </c>
      <c r="G7" s="1161" t="e">
        <f ca="1">[8]!REG_POWER(D7^2,DFR,1,0,0.05)</f>
        <v>#NAME?</v>
      </c>
    </row>
    <row r="8" spans="1:7" x14ac:dyDescent="0.2">
      <c r="A8" s="1155" t="s">
        <v>570</v>
      </c>
      <c r="B8" s="1145" t="e">
        <v>#VALUE!</v>
      </c>
      <c r="C8" s="1149" t="e">
        <f ca="1"/>
        <v>#NAME?</v>
      </c>
      <c r="D8" s="1156" t="e">
        <f t="shared" ca="1" si="0"/>
        <v>#VALUE!</v>
      </c>
      <c r="E8" s="1157" t="e">
        <f t="shared" ca="1" si="1"/>
        <v>#VALUE!</v>
      </c>
      <c r="F8" s="1158" t="e">
        <f t="shared" ca="1" si="2"/>
        <v>#NAME?</v>
      </c>
      <c r="G8" s="1158" t="e">
        <f ca="1">[8]!REG_POWER(D8^2,DFR,1,0,0.05)</f>
        <v>#NAME?</v>
      </c>
    </row>
    <row r="9" spans="1:7" x14ac:dyDescent="0.2">
      <c r="A9" s="1162" t="s">
        <v>571</v>
      </c>
      <c r="B9" s="1147" t="e">
        <v>#VALUE!</v>
      </c>
      <c r="C9" s="1151" t="e">
        <f ca="1"/>
        <v>#NAME?</v>
      </c>
      <c r="D9" s="1163" t="e">
        <f t="shared" ca="1" si="0"/>
        <v>#VALUE!</v>
      </c>
      <c r="E9" s="1164" t="e">
        <f t="shared" ca="1" si="1"/>
        <v>#VALUE!</v>
      </c>
      <c r="F9" s="1165" t="e">
        <f t="shared" ca="1" si="2"/>
        <v>#NAME?</v>
      </c>
      <c r="G9" s="1165" t="e">
        <f ca="1">[8]!REG_POWER(D9^2,DFR,1,0,0.05)</f>
        <v>#NAME?</v>
      </c>
    </row>
  </sheetData>
  <conditionalFormatting sqref="D2:G9">
    <cfRule type="cellIs" dxfId="18" priority="2" operator="between">
      <formula>-0.00001</formula>
      <formula>0.00001</formula>
    </cfRule>
  </conditionalFormatting>
  <conditionalFormatting sqref="E2:G9">
    <cfRule type="cellIs" dxfId="17" priority="1" operator="greaterThan">
      <formula>0.99999</formula>
    </cfRule>
  </conditionalFormatting>
  <pageMargins left="0.7" right="0.7" top="0.75" bottom="0.75" header="0.3" footer="0.3"/>
  <pageSetup orientation="portrait" horizontalDpi="360" verticalDpi="36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1785F-57C1-DE41-91B5-8B3C6E025F84}">
  <dimension ref="A1:AI79"/>
  <sheetViews>
    <sheetView showGridLines="0" zoomScaleNormal="100" workbookViewId="0">
      <pane ySplit="2" topLeftCell="A3" activePane="bottomLeft" state="frozen"/>
      <selection activeCell="B1" sqref="B1"/>
      <selection pane="bottomLeft" activeCell="K34" sqref="K34:N34"/>
    </sheetView>
  </sheetViews>
  <sheetFormatPr baseColWidth="10" defaultColWidth="6.6640625" defaultRowHeight="15" x14ac:dyDescent="0.2"/>
  <cols>
    <col min="1" max="1" width="6.6640625" style="144"/>
    <col min="2" max="2" width="6.6640625" style="143"/>
    <col min="3" max="6" width="6.6640625" style="144"/>
    <col min="7" max="10" width="6.6640625" style="1618"/>
    <col min="11" max="14" width="6.6640625" style="144" customWidth="1"/>
    <col min="15" max="15" width="6.6640625" style="144"/>
    <col min="16" max="17" width="6.6640625" style="144" customWidth="1"/>
    <col min="18" max="22" width="6.6640625" style="144"/>
    <col min="23" max="28" width="6.6640625" style="1618"/>
    <col min="29" max="29" width="4.5" style="1618" customWidth="1"/>
    <col min="30" max="32" width="6.6640625" style="1618"/>
    <col min="33" max="16384" width="6.6640625" style="144"/>
  </cols>
  <sheetData>
    <row r="1" spans="1:29" ht="17" x14ac:dyDescent="0.2">
      <c r="A1" s="1515" t="s">
        <v>627</v>
      </c>
      <c r="B1" s="1483" t="s">
        <v>628</v>
      </c>
      <c r="C1" s="1611"/>
      <c r="D1" s="1611"/>
      <c r="E1" s="1612"/>
      <c r="G1" s="1575" t="s">
        <v>600</v>
      </c>
      <c r="H1" s="1547"/>
      <c r="I1" s="1547"/>
      <c r="J1" s="1548"/>
      <c r="K1" s="1483" t="s">
        <v>629</v>
      </c>
      <c r="L1" s="1481"/>
      <c r="M1" s="1481"/>
      <c r="N1" s="1613"/>
      <c r="O1" s="1614"/>
      <c r="P1" s="1614"/>
      <c r="Q1" s="1615" t="s">
        <v>630</v>
      </c>
      <c r="R1" s="1481"/>
      <c r="S1" s="1481"/>
      <c r="T1" s="1481"/>
      <c r="U1" s="1481"/>
      <c r="V1" s="1613"/>
      <c r="W1" s="1616"/>
      <c r="X1" s="1617" t="s">
        <v>631</v>
      </c>
      <c r="Y1" s="1599"/>
      <c r="Z1" s="1617" t="s">
        <v>632</v>
      </c>
      <c r="AA1" s="1599"/>
      <c r="AB1" s="144"/>
      <c r="AC1" s="144"/>
    </row>
    <row r="2" spans="1:29" ht="17" x14ac:dyDescent="0.2">
      <c r="A2" s="1619"/>
      <c r="B2" s="1310">
        <v>0</v>
      </c>
      <c r="C2" s="1310" t="s">
        <v>633</v>
      </c>
      <c r="D2" s="1305" t="s">
        <v>634</v>
      </c>
      <c r="E2" s="1306" t="s">
        <v>635</v>
      </c>
      <c r="G2" s="1307">
        <v>0</v>
      </c>
      <c r="H2" s="1620" t="s">
        <v>633</v>
      </c>
      <c r="I2" s="1621" t="s">
        <v>634</v>
      </c>
      <c r="J2" s="1622" t="s">
        <v>635</v>
      </c>
      <c r="K2" s="1310" t="s">
        <v>636</v>
      </c>
      <c r="L2" s="1310" t="s">
        <v>637</v>
      </c>
      <c r="M2" s="1305" t="s">
        <v>638</v>
      </c>
      <c r="N2" s="1623" t="s">
        <v>639</v>
      </c>
      <c r="O2" s="1306" t="s">
        <v>640</v>
      </c>
      <c r="P2" s="1624" t="s">
        <v>641</v>
      </c>
      <c r="Q2" s="1625" t="s">
        <v>642</v>
      </c>
      <c r="R2" s="1626" t="s">
        <v>643</v>
      </c>
      <c r="S2" s="1627" t="s">
        <v>642</v>
      </c>
      <c r="T2" s="1626" t="s">
        <v>644</v>
      </c>
      <c r="U2" s="1627" t="s">
        <v>643</v>
      </c>
      <c r="V2" s="1628" t="s">
        <v>644</v>
      </c>
      <c r="W2" s="1629" t="s">
        <v>645</v>
      </c>
      <c r="X2" s="1630" t="s">
        <v>315</v>
      </c>
      <c r="Y2" s="1631" t="s">
        <v>219</v>
      </c>
      <c r="Z2" s="1630" t="s">
        <v>315</v>
      </c>
      <c r="AA2" s="1631" t="s">
        <v>219</v>
      </c>
      <c r="AB2" s="144"/>
      <c r="AC2" s="144"/>
    </row>
    <row r="3" spans="1:29" ht="15" customHeight="1" x14ac:dyDescent="0.2">
      <c r="A3" s="1267">
        <v>1</v>
      </c>
      <c r="B3" s="189">
        <v>1</v>
      </c>
      <c r="C3" s="1632">
        <v>-0.96475823014913797</v>
      </c>
      <c r="D3" s="1633">
        <v>-4.9669143769142762E-2</v>
      </c>
      <c r="E3" s="1634">
        <v>0.96998970976716259</v>
      </c>
      <c r="F3" s="201">
        <v>0</v>
      </c>
      <c r="G3" s="1635">
        <f t="array" ref="G3:J6">MMULT(TRANSPOSE(X),X)</f>
        <v>25</v>
      </c>
      <c r="H3" s="1636">
        <v>-3.8857805861880479E-14</v>
      </c>
      <c r="I3" s="1636">
        <v>-1.9761969838327786E-14</v>
      </c>
      <c r="J3" s="1637">
        <v>-4.2577052994374753E-14</v>
      </c>
      <c r="K3" s="189" t="e">
        <f t="array" aca="1" ref="K3:N27" ca="1">MMULT(X,MINVERSE(S))</f>
        <v>#NAME?</v>
      </c>
      <c r="L3" s="1632" t="e">
        <f ca="1"/>
        <v>#NAME?</v>
      </c>
      <c r="M3" s="1633" t="e">
        <f ca="1"/>
        <v>#NAME?</v>
      </c>
      <c r="N3" s="1642" t="e">
        <f ca="1"/>
        <v>#NAME?</v>
      </c>
      <c r="O3" s="1634" t="e">
        <f t="shared" ref="O3:O27" ca="1" si="0">SUMSQ(K3:N3)</f>
        <v>#NAME?</v>
      </c>
      <c r="P3" s="1633" t="e">
        <f t="shared" ref="P3" ca="1" si="1">(n*O3-1)/(n*h_max-1)</f>
        <v>#NAME?</v>
      </c>
      <c r="Q3" s="1656" t="e">
        <f t="shared" ref="Q3:Q27" ca="1" si="2">L3/SQRT(SUMSQ(L3,M3))*P3</f>
        <v>#NAME?</v>
      </c>
      <c r="R3" s="1634" t="e">
        <f t="shared" ref="R3:R27" ca="1" si="3">M3/SQRT(SUMSQ(L3,M3))*P3</f>
        <v>#NAME?</v>
      </c>
      <c r="S3" s="1633" t="e">
        <f t="shared" ref="S3:S27" ca="1" si="4">L3/SQRT(SUMSQ(L3,N3))*P3</f>
        <v>#NAME?</v>
      </c>
      <c r="T3" s="1633" t="e">
        <f t="shared" ref="T3:T27" ca="1" si="5">N3/SQRT(SUMSQ(L3,N3))*P3</f>
        <v>#NAME?</v>
      </c>
      <c r="U3" s="1632" t="e">
        <f t="shared" ref="U3:U27" ca="1" si="6">M3/SQRT(SUMSQ(M3,N3))*P3</f>
        <v>#NAME?</v>
      </c>
      <c r="V3" s="1642" t="e">
        <f t="shared" ref="V3:V27" ca="1" si="7">N3/SQRT(SUMSQ(M3,N3))*P3</f>
        <v>#NAME?</v>
      </c>
      <c r="W3" s="1657">
        <v>0</v>
      </c>
      <c r="X3" s="1658">
        <f>COS(RADIANS(W3))</f>
        <v>1</v>
      </c>
      <c r="Y3" s="1659">
        <f>SIN(RADIANS(W3))</f>
        <v>0</v>
      </c>
      <c r="Z3" s="1658" t="e">
        <f t="shared" ref="Z3:Z27" ca="1" si="8">$P$34*COS(RADIANS(W3))</f>
        <v>#NAME?</v>
      </c>
      <c r="AA3" s="1659" t="e">
        <f t="shared" ref="AA3:AA27" ca="1" si="9">$P$34*SIN(RADIANS(W3))</f>
        <v>#NAME?</v>
      </c>
      <c r="AB3" s="144"/>
      <c r="AC3" s="144"/>
    </row>
    <row r="4" spans="1:29" ht="15" customHeight="1" x14ac:dyDescent="0.2">
      <c r="A4" s="237">
        <f>A3+1</f>
        <v>2</v>
      </c>
      <c r="B4" s="172">
        <v>1</v>
      </c>
      <c r="C4" s="1643">
        <v>-0.96475823014913797</v>
      </c>
      <c r="D4" s="1644">
        <v>-4.9669143769142762E-2</v>
      </c>
      <c r="E4" s="1660">
        <v>0.17923722897871452</v>
      </c>
      <c r="F4" s="1309" t="s">
        <v>633</v>
      </c>
      <c r="G4" s="1638">
        <v>-3.8857805861880479E-14</v>
      </c>
      <c r="H4" s="1635">
        <v>23.999999999999993</v>
      </c>
      <c r="I4" s="1636">
        <v>11.316811453403732</v>
      </c>
      <c r="J4" s="1637">
        <v>0.69470992621955718</v>
      </c>
      <c r="K4" s="172" t="e">
        <f ca="1"/>
        <v>#NAME?</v>
      </c>
      <c r="L4" s="1643" t="e">
        <f ca="1"/>
        <v>#NAME?</v>
      </c>
      <c r="M4" s="1644" t="e">
        <f ca="1"/>
        <v>#NAME?</v>
      </c>
      <c r="N4" s="1645" t="e">
        <f ca="1"/>
        <v>#NAME?</v>
      </c>
      <c r="O4" s="1660" t="e">
        <f t="shared" ca="1" si="0"/>
        <v>#NAME?</v>
      </c>
      <c r="P4" s="1644" t="e">
        <f t="shared" ref="P4" ca="1" si="10">(n*O4-1)/(n*h_max-1)</f>
        <v>#NAME?</v>
      </c>
      <c r="Q4" s="1661" t="e">
        <f t="shared" ca="1" si="2"/>
        <v>#NAME?</v>
      </c>
      <c r="R4" s="1660" t="e">
        <f t="shared" ca="1" si="3"/>
        <v>#NAME?</v>
      </c>
      <c r="S4" s="1644" t="e">
        <f t="shared" ca="1" si="4"/>
        <v>#NAME?</v>
      </c>
      <c r="T4" s="1644" t="e">
        <f t="shared" ca="1" si="5"/>
        <v>#NAME?</v>
      </c>
      <c r="U4" s="1643" t="e">
        <f t="shared" ca="1" si="6"/>
        <v>#NAME?</v>
      </c>
      <c r="V4" s="1645" t="e">
        <f t="shared" ca="1" si="7"/>
        <v>#NAME?</v>
      </c>
      <c r="W4" s="1662">
        <f>15+W3</f>
        <v>15</v>
      </c>
      <c r="X4" s="1663">
        <f t="shared" ref="X4:X27" si="11">COS(RADIANS(W4))</f>
        <v>0.96592582628906831</v>
      </c>
      <c r="Y4" s="1664">
        <f t="shared" ref="Y4:Y27" si="12">SIN(RADIANS(W4))</f>
        <v>0.25881904510252074</v>
      </c>
      <c r="Z4" s="1663" t="e">
        <f t="shared" ca="1" si="8"/>
        <v>#NAME?</v>
      </c>
      <c r="AA4" s="1664" t="e">
        <f t="shared" ca="1" si="9"/>
        <v>#NAME?</v>
      </c>
      <c r="AB4" s="144"/>
      <c r="AC4" s="144"/>
    </row>
    <row r="5" spans="1:29" ht="15" customHeight="1" x14ac:dyDescent="0.2">
      <c r="A5" s="237">
        <f t="shared" ref="A5:A27" si="13">A4+1</f>
        <v>3</v>
      </c>
      <c r="B5" s="172">
        <v>1</v>
      </c>
      <c r="C5" s="1643">
        <v>-0.96475823014913797</v>
      </c>
      <c r="D5" s="1644">
        <v>-0.99574446860870669</v>
      </c>
      <c r="E5" s="1660">
        <v>-0.4797231716783279</v>
      </c>
      <c r="F5" s="1309" t="s">
        <v>634</v>
      </c>
      <c r="G5" s="1638">
        <v>-1.9761969838327786E-14</v>
      </c>
      <c r="H5" s="1638">
        <v>11.316811453403732</v>
      </c>
      <c r="I5" s="1635">
        <v>23.999999999999996</v>
      </c>
      <c r="J5" s="1639">
        <v>2.6721145339532111</v>
      </c>
      <c r="K5" s="172" t="e">
        <f ca="1"/>
        <v>#NAME?</v>
      </c>
      <c r="L5" s="1643" t="e">
        <f ca="1"/>
        <v>#NAME?</v>
      </c>
      <c r="M5" s="1644" t="e">
        <f ca="1"/>
        <v>#NAME?</v>
      </c>
      <c r="N5" s="1645" t="e">
        <f ca="1"/>
        <v>#NAME?</v>
      </c>
      <c r="O5" s="1660" t="e">
        <f t="shared" ca="1" si="0"/>
        <v>#NAME?</v>
      </c>
      <c r="P5" s="1644" t="e">
        <f t="shared" ref="P5" ca="1" si="14">(n*O5-1)/(n*h_max-1)</f>
        <v>#NAME?</v>
      </c>
      <c r="Q5" s="1661" t="e">
        <f t="shared" ca="1" si="2"/>
        <v>#NAME?</v>
      </c>
      <c r="R5" s="1660" t="e">
        <f t="shared" ca="1" si="3"/>
        <v>#NAME?</v>
      </c>
      <c r="S5" s="1644" t="e">
        <f t="shared" ca="1" si="4"/>
        <v>#NAME?</v>
      </c>
      <c r="T5" s="1644" t="e">
        <f t="shared" ca="1" si="5"/>
        <v>#NAME?</v>
      </c>
      <c r="U5" s="1643" t="e">
        <f t="shared" ca="1" si="6"/>
        <v>#NAME?</v>
      </c>
      <c r="V5" s="1645" t="e">
        <f t="shared" ca="1" si="7"/>
        <v>#NAME?</v>
      </c>
      <c r="W5" s="1662">
        <f t="shared" ref="W5:W27" si="15">15+W4</f>
        <v>30</v>
      </c>
      <c r="X5" s="1663">
        <f t="shared" si="11"/>
        <v>0.86602540378443871</v>
      </c>
      <c r="Y5" s="1664">
        <f t="shared" si="12"/>
        <v>0.49999999999999994</v>
      </c>
      <c r="Z5" s="1663" t="e">
        <f t="shared" ca="1" si="8"/>
        <v>#NAME?</v>
      </c>
      <c r="AA5" s="1664" t="e">
        <f t="shared" ca="1" si="9"/>
        <v>#NAME?</v>
      </c>
      <c r="AB5" s="144"/>
      <c r="AC5" s="144"/>
    </row>
    <row r="6" spans="1:29" ht="15" customHeight="1" x14ac:dyDescent="0.2">
      <c r="A6" s="237">
        <f t="shared" si="13"/>
        <v>4</v>
      </c>
      <c r="B6" s="172">
        <v>1</v>
      </c>
      <c r="C6" s="1643">
        <v>-0.96475823014913797</v>
      </c>
      <c r="D6" s="1644">
        <v>-0.52270680618892473</v>
      </c>
      <c r="E6" s="1660">
        <v>-1.0068914922039647</v>
      </c>
      <c r="F6" s="171" t="s">
        <v>635</v>
      </c>
      <c r="G6" s="1640">
        <v>-4.2577052994374753E-14</v>
      </c>
      <c r="H6" s="1640">
        <v>0.69470992621955718</v>
      </c>
      <c r="I6" s="1641">
        <v>2.6721145339532111</v>
      </c>
      <c r="J6" s="1635">
        <v>23.999999999999996</v>
      </c>
      <c r="K6" s="172" t="e">
        <f ca="1"/>
        <v>#NAME?</v>
      </c>
      <c r="L6" s="1643" t="e">
        <f ca="1"/>
        <v>#NAME?</v>
      </c>
      <c r="M6" s="1644" t="e">
        <f ca="1"/>
        <v>#NAME?</v>
      </c>
      <c r="N6" s="1645" t="e">
        <f ca="1"/>
        <v>#NAME?</v>
      </c>
      <c r="O6" s="1660" t="e">
        <f t="shared" ca="1" si="0"/>
        <v>#NAME?</v>
      </c>
      <c r="P6" s="1644" t="e">
        <f t="shared" ref="P6" ca="1" si="16">(n*O6-1)/(n*h_max-1)</f>
        <v>#NAME?</v>
      </c>
      <c r="Q6" s="1661" t="e">
        <f t="shared" ca="1" si="2"/>
        <v>#NAME?</v>
      </c>
      <c r="R6" s="1660" t="e">
        <f t="shared" ca="1" si="3"/>
        <v>#NAME?</v>
      </c>
      <c r="S6" s="1644" t="e">
        <f t="shared" ca="1" si="4"/>
        <v>#NAME?</v>
      </c>
      <c r="T6" s="1644" t="e">
        <f t="shared" ca="1" si="5"/>
        <v>#NAME?</v>
      </c>
      <c r="U6" s="1643" t="e">
        <f t="shared" ca="1" si="6"/>
        <v>#NAME?</v>
      </c>
      <c r="V6" s="1645" t="e">
        <f t="shared" ca="1" si="7"/>
        <v>#NAME?</v>
      </c>
      <c r="W6" s="1657">
        <f t="shared" si="15"/>
        <v>45</v>
      </c>
      <c r="X6" s="1658">
        <f t="shared" si="11"/>
        <v>0.70710678118654757</v>
      </c>
      <c r="Y6" s="1659">
        <f t="shared" si="12"/>
        <v>0.70710678118654746</v>
      </c>
      <c r="Z6" s="1658" t="e">
        <f t="shared" ca="1" si="8"/>
        <v>#NAME?</v>
      </c>
      <c r="AA6" s="1659" t="e">
        <f t="shared" ca="1" si="9"/>
        <v>#NAME?</v>
      </c>
      <c r="AB6" s="144"/>
      <c r="AC6" s="144"/>
    </row>
    <row r="7" spans="1:29" ht="15" customHeight="1" x14ac:dyDescent="0.2">
      <c r="A7" s="237">
        <f t="shared" si="13"/>
        <v>5</v>
      </c>
      <c r="B7" s="172">
        <v>1</v>
      </c>
      <c r="C7" s="1643">
        <v>-0.96475823014913797</v>
      </c>
      <c r="D7" s="1644">
        <v>-0.99574446860870669</v>
      </c>
      <c r="E7" s="1660">
        <v>-1.2704756524667806</v>
      </c>
      <c r="G7" s="1665" t="s">
        <v>252</v>
      </c>
      <c r="H7" s="1666"/>
      <c r="I7" s="1666"/>
      <c r="J7" s="1667"/>
      <c r="K7" s="172" t="e">
        <f ca="1"/>
        <v>#NAME?</v>
      </c>
      <c r="L7" s="1643" t="e">
        <f ca="1"/>
        <v>#NAME?</v>
      </c>
      <c r="M7" s="1644" t="e">
        <f ca="1"/>
        <v>#NAME?</v>
      </c>
      <c r="N7" s="1645" t="e">
        <f ca="1"/>
        <v>#NAME?</v>
      </c>
      <c r="O7" s="1660" t="e">
        <f t="shared" ca="1" si="0"/>
        <v>#NAME?</v>
      </c>
      <c r="P7" s="1644" t="e">
        <f t="shared" ref="P7" ca="1" si="17">(n*O7-1)/(n*h_max-1)</f>
        <v>#NAME?</v>
      </c>
      <c r="Q7" s="1661" t="e">
        <f t="shared" ca="1" si="2"/>
        <v>#NAME?</v>
      </c>
      <c r="R7" s="1660" t="e">
        <f t="shared" ca="1" si="3"/>
        <v>#NAME?</v>
      </c>
      <c r="S7" s="1644" t="e">
        <f t="shared" ca="1" si="4"/>
        <v>#NAME?</v>
      </c>
      <c r="T7" s="1644" t="e">
        <f t="shared" ca="1" si="5"/>
        <v>#NAME?</v>
      </c>
      <c r="U7" s="1643" t="e">
        <f t="shared" ca="1" si="6"/>
        <v>#NAME?</v>
      </c>
      <c r="V7" s="1645" t="e">
        <f t="shared" ca="1" si="7"/>
        <v>#NAME?</v>
      </c>
      <c r="W7" s="1662">
        <f t="shared" si="15"/>
        <v>60</v>
      </c>
      <c r="X7" s="1663">
        <f t="shared" si="11"/>
        <v>0.50000000000000011</v>
      </c>
      <c r="Y7" s="1664">
        <f t="shared" si="12"/>
        <v>0.8660254037844386</v>
      </c>
      <c r="Z7" s="1663" t="e">
        <f t="shared" ca="1" si="8"/>
        <v>#NAME?</v>
      </c>
      <c r="AA7" s="1664" t="e">
        <f t="shared" ca="1" si="9"/>
        <v>#NAME?</v>
      </c>
      <c r="AB7" s="144"/>
      <c r="AC7" s="144"/>
    </row>
    <row r="8" spans="1:29" ht="15" customHeight="1" x14ac:dyDescent="0.2">
      <c r="A8" s="209">
        <f t="shared" si="13"/>
        <v>6</v>
      </c>
      <c r="B8" s="1646">
        <v>1</v>
      </c>
      <c r="C8" s="1647">
        <v>1.4461220610675458</v>
      </c>
      <c r="D8" s="1636">
        <v>0.84910241482844184</v>
      </c>
      <c r="E8" s="1637">
        <v>1.2335738700299834</v>
      </c>
      <c r="G8" s="1668">
        <v>0</v>
      </c>
      <c r="H8" s="1669" t="s">
        <v>633</v>
      </c>
      <c r="I8" s="1670" t="s">
        <v>634</v>
      </c>
      <c r="J8" s="1671" t="s">
        <v>635</v>
      </c>
      <c r="K8" s="1646" t="e">
        <f ca="1"/>
        <v>#NAME?</v>
      </c>
      <c r="L8" s="1647" t="e">
        <f ca="1"/>
        <v>#NAME?</v>
      </c>
      <c r="M8" s="1636" t="e">
        <f ca="1"/>
        <v>#NAME?</v>
      </c>
      <c r="N8" s="1648" t="e">
        <f ca="1"/>
        <v>#NAME?</v>
      </c>
      <c r="O8" s="1637" t="e">
        <f t="shared" ca="1" si="0"/>
        <v>#NAME?</v>
      </c>
      <c r="P8" s="1636" t="e">
        <f t="shared" ref="P8" ca="1" si="18">(n*O8-1)/(n*h_max-1)</f>
        <v>#NAME?</v>
      </c>
      <c r="Q8" s="1672" t="e">
        <f t="shared" ca="1" si="2"/>
        <v>#NAME?</v>
      </c>
      <c r="R8" s="1637" t="e">
        <f t="shared" ca="1" si="3"/>
        <v>#NAME?</v>
      </c>
      <c r="S8" s="1636" t="e">
        <f t="shared" ca="1" si="4"/>
        <v>#NAME?</v>
      </c>
      <c r="T8" s="1636" t="e">
        <f t="shared" ca="1" si="5"/>
        <v>#NAME?</v>
      </c>
      <c r="U8" s="1647" t="e">
        <f t="shared" ca="1" si="6"/>
        <v>#NAME?</v>
      </c>
      <c r="V8" s="1648" t="e">
        <f t="shared" ca="1" si="7"/>
        <v>#NAME?</v>
      </c>
      <c r="W8" s="1662">
        <f t="shared" si="15"/>
        <v>75</v>
      </c>
      <c r="X8" s="1663">
        <f t="shared" si="11"/>
        <v>0.25881904510252074</v>
      </c>
      <c r="Y8" s="1664">
        <f t="shared" si="12"/>
        <v>0.96592582628906831</v>
      </c>
      <c r="Z8" s="1663" t="e">
        <f t="shared" ca="1" si="8"/>
        <v>#NAME?</v>
      </c>
      <c r="AA8" s="1664" t="e">
        <f t="shared" ca="1" si="9"/>
        <v>#NAME?</v>
      </c>
      <c r="AB8" s="144"/>
    </row>
    <row r="9" spans="1:29" ht="15" customHeight="1" x14ac:dyDescent="0.2">
      <c r="A9" s="1673">
        <f t="shared" si="13"/>
        <v>7</v>
      </c>
      <c r="B9" s="1649">
        <v>1</v>
      </c>
      <c r="C9" s="1638">
        <v>1.4461220610675458</v>
      </c>
      <c r="D9" s="1650">
        <v>2.4101267008137213</v>
      </c>
      <c r="E9" s="1639">
        <v>0.44282138924153053</v>
      </c>
      <c r="F9" s="1674">
        <v>0</v>
      </c>
      <c r="G9" s="1675" t="e">
        <f t="array" aca="1" ref="G9:J12" ca="1">[10]!MSQRT(MMULT(TRANSPOSE(X),X))</f>
        <v>#NAME?</v>
      </c>
      <c r="H9" s="1633" t="e">
        <f ca="1"/>
        <v>#NAME?</v>
      </c>
      <c r="I9" s="1633" t="e">
        <f ca="1"/>
        <v>#NAME?</v>
      </c>
      <c r="J9" s="1634" t="e">
        <f ca="1"/>
        <v>#NAME?</v>
      </c>
      <c r="K9" s="1649" t="e">
        <f ca="1"/>
        <v>#NAME?</v>
      </c>
      <c r="L9" s="1638" t="e">
        <f ca="1"/>
        <v>#NAME?</v>
      </c>
      <c r="M9" s="1650" t="e">
        <f ca="1"/>
        <v>#NAME?</v>
      </c>
      <c r="N9" s="1651" t="e">
        <f ca="1"/>
        <v>#NAME?</v>
      </c>
      <c r="O9" s="1639" t="e">
        <f t="shared" ca="1" si="0"/>
        <v>#NAME?</v>
      </c>
      <c r="P9" s="1650" t="e">
        <f t="shared" ref="P9:P27" ca="1" si="19">(n*O9-1)/(n*h_max-1)</f>
        <v>#NAME?</v>
      </c>
      <c r="Q9" s="1676" t="e">
        <f t="shared" ca="1" si="2"/>
        <v>#NAME?</v>
      </c>
      <c r="R9" s="1639" t="e">
        <f t="shared" ca="1" si="3"/>
        <v>#NAME?</v>
      </c>
      <c r="S9" s="1650" t="e">
        <f t="shared" ca="1" si="4"/>
        <v>#NAME?</v>
      </c>
      <c r="T9" s="1650" t="e">
        <f t="shared" ca="1" si="5"/>
        <v>#NAME?</v>
      </c>
      <c r="U9" s="1638" t="e">
        <f t="shared" ca="1" si="6"/>
        <v>#NAME?</v>
      </c>
      <c r="V9" s="1651" t="e">
        <f t="shared" ca="1" si="7"/>
        <v>#NAME?</v>
      </c>
      <c r="W9" s="1657">
        <f t="shared" si="15"/>
        <v>90</v>
      </c>
      <c r="X9" s="1658">
        <f t="shared" si="11"/>
        <v>6.123233995736766E-17</v>
      </c>
      <c r="Y9" s="1659">
        <f t="shared" si="12"/>
        <v>1</v>
      </c>
      <c r="Z9" s="1658" t="e">
        <f t="shared" ca="1" si="8"/>
        <v>#NAME?</v>
      </c>
      <c r="AA9" s="1659" t="e">
        <f t="shared" ca="1" si="9"/>
        <v>#NAME?</v>
      </c>
      <c r="AB9" s="144"/>
    </row>
    <row r="10" spans="1:29" ht="15" customHeight="1" x14ac:dyDescent="0.2">
      <c r="A10" s="1673">
        <f t="shared" si="13"/>
        <v>8</v>
      </c>
      <c r="B10" s="1649">
        <v>1</v>
      </c>
      <c r="C10" s="1638">
        <v>1.4461220610675458</v>
      </c>
      <c r="D10" s="1650">
        <v>-0.14427667625309915</v>
      </c>
      <c r="E10" s="1639">
        <v>-8.4346931284101506E-2</v>
      </c>
      <c r="F10" s="1677" t="s">
        <v>633</v>
      </c>
      <c r="G10" s="1643" t="e">
        <f ca="1"/>
        <v>#NAME?</v>
      </c>
      <c r="H10" s="1675" t="e">
        <f ca="1"/>
        <v>#NAME?</v>
      </c>
      <c r="I10" s="1633" t="e">
        <f ca="1"/>
        <v>#NAME?</v>
      </c>
      <c r="J10" s="1634" t="e">
        <f ca="1"/>
        <v>#NAME?</v>
      </c>
      <c r="K10" s="1649" t="e">
        <f ca="1"/>
        <v>#NAME?</v>
      </c>
      <c r="L10" s="1638" t="e">
        <f ca="1"/>
        <v>#NAME?</v>
      </c>
      <c r="M10" s="1650" t="e">
        <f ca="1"/>
        <v>#NAME?</v>
      </c>
      <c r="N10" s="1651" t="e">
        <f ca="1"/>
        <v>#NAME?</v>
      </c>
      <c r="O10" s="1639" t="e">
        <f t="shared" ca="1" si="0"/>
        <v>#NAME?</v>
      </c>
      <c r="P10" s="1650" t="e">
        <f t="shared" ca="1" si="19"/>
        <v>#NAME?</v>
      </c>
      <c r="Q10" s="1676" t="e">
        <f t="shared" ca="1" si="2"/>
        <v>#NAME?</v>
      </c>
      <c r="R10" s="1639" t="e">
        <f t="shared" ca="1" si="3"/>
        <v>#NAME?</v>
      </c>
      <c r="S10" s="1650" t="e">
        <f t="shared" ca="1" si="4"/>
        <v>#NAME?</v>
      </c>
      <c r="T10" s="1650" t="e">
        <f t="shared" ca="1" si="5"/>
        <v>#NAME?</v>
      </c>
      <c r="U10" s="1638" t="e">
        <f t="shared" ca="1" si="6"/>
        <v>#NAME?</v>
      </c>
      <c r="V10" s="1651" t="e">
        <f t="shared" ca="1" si="7"/>
        <v>#NAME?</v>
      </c>
      <c r="W10" s="1662">
        <f t="shared" si="15"/>
        <v>105</v>
      </c>
      <c r="X10" s="1663">
        <f t="shared" si="11"/>
        <v>-0.25881904510252085</v>
      </c>
      <c r="Y10" s="1664">
        <f t="shared" si="12"/>
        <v>0.96592582628906831</v>
      </c>
      <c r="Z10" s="1663" t="e">
        <f t="shared" ca="1" si="8"/>
        <v>#NAME?</v>
      </c>
      <c r="AA10" s="1664" t="e">
        <f t="shared" ca="1" si="9"/>
        <v>#NAME?</v>
      </c>
      <c r="AB10" s="144"/>
      <c r="AC10" s="144"/>
    </row>
    <row r="11" spans="1:29" ht="15" customHeight="1" x14ac:dyDescent="0.2">
      <c r="A11" s="1673">
        <f t="shared" si="13"/>
        <v>9</v>
      </c>
      <c r="B11" s="1649">
        <v>1</v>
      </c>
      <c r="C11" s="1638">
        <v>1.4461220610675458</v>
      </c>
      <c r="D11" s="1650">
        <v>1.7478739734260265</v>
      </c>
      <c r="E11" s="1639">
        <v>-0.87509941207255426</v>
      </c>
      <c r="F11" s="1677" t="s">
        <v>634</v>
      </c>
      <c r="G11" s="1643" t="e">
        <f ca="1"/>
        <v>#NAME?</v>
      </c>
      <c r="H11" s="1643" t="e">
        <f ca="1"/>
        <v>#NAME?</v>
      </c>
      <c r="I11" s="1675" t="e">
        <f ca="1"/>
        <v>#NAME?</v>
      </c>
      <c r="J11" s="1660" t="e">
        <f ca="1"/>
        <v>#NAME?</v>
      </c>
      <c r="K11" s="1649" t="e">
        <f ca="1"/>
        <v>#NAME?</v>
      </c>
      <c r="L11" s="1638" t="e">
        <f ca="1"/>
        <v>#NAME?</v>
      </c>
      <c r="M11" s="1650" t="e">
        <f ca="1"/>
        <v>#NAME?</v>
      </c>
      <c r="N11" s="1651" t="e">
        <f ca="1"/>
        <v>#NAME?</v>
      </c>
      <c r="O11" s="1639" t="e">
        <f t="shared" ca="1" si="0"/>
        <v>#NAME?</v>
      </c>
      <c r="P11" s="1650" t="e">
        <f t="shared" ca="1" si="19"/>
        <v>#NAME?</v>
      </c>
      <c r="Q11" s="1676" t="e">
        <f t="shared" ca="1" si="2"/>
        <v>#NAME?</v>
      </c>
      <c r="R11" s="1639" t="e">
        <f t="shared" ca="1" si="3"/>
        <v>#NAME?</v>
      </c>
      <c r="S11" s="1650" t="e">
        <f t="shared" ca="1" si="4"/>
        <v>#NAME?</v>
      </c>
      <c r="T11" s="1650" t="e">
        <f t="shared" ca="1" si="5"/>
        <v>#NAME?</v>
      </c>
      <c r="U11" s="1638" t="e">
        <f t="shared" ca="1" si="6"/>
        <v>#NAME?</v>
      </c>
      <c r="V11" s="1651" t="e">
        <f t="shared" ca="1" si="7"/>
        <v>#NAME?</v>
      </c>
      <c r="W11" s="1662">
        <f t="shared" si="15"/>
        <v>120</v>
      </c>
      <c r="X11" s="1663">
        <f t="shared" si="11"/>
        <v>-0.49999999999999983</v>
      </c>
      <c r="Y11" s="1664">
        <f t="shared" si="12"/>
        <v>0.86602540378443871</v>
      </c>
      <c r="Z11" s="1663" t="e">
        <f t="shared" ca="1" si="8"/>
        <v>#NAME?</v>
      </c>
      <c r="AA11" s="1664" t="e">
        <f t="shared" ca="1" si="9"/>
        <v>#NAME?</v>
      </c>
      <c r="AB11" s="144"/>
      <c r="AC11" s="144"/>
    </row>
    <row r="12" spans="1:29" ht="15" customHeight="1" x14ac:dyDescent="0.2">
      <c r="A12" s="1678">
        <f t="shared" si="13"/>
        <v>10</v>
      </c>
      <c r="B12" s="1308">
        <v>1</v>
      </c>
      <c r="C12" s="1640">
        <v>1.4461220610675458</v>
      </c>
      <c r="D12" s="1641">
        <v>-0.23888420873705554</v>
      </c>
      <c r="E12" s="1679">
        <v>1.8925342706870258</v>
      </c>
      <c r="F12" s="1680" t="s">
        <v>635</v>
      </c>
      <c r="G12" s="1653" t="e">
        <f ca="1"/>
        <v>#NAME?</v>
      </c>
      <c r="H12" s="1653" t="e">
        <f ca="1"/>
        <v>#NAME?</v>
      </c>
      <c r="I12" s="1654" t="e">
        <f ca="1"/>
        <v>#NAME?</v>
      </c>
      <c r="J12" s="1675" t="e">
        <f ca="1"/>
        <v>#NAME?</v>
      </c>
      <c r="K12" s="1308" t="e">
        <f ca="1"/>
        <v>#NAME?</v>
      </c>
      <c r="L12" s="1640" t="e">
        <f ca="1"/>
        <v>#NAME?</v>
      </c>
      <c r="M12" s="1641" t="e">
        <f ca="1"/>
        <v>#NAME?</v>
      </c>
      <c r="N12" s="1652" t="e">
        <f ca="1"/>
        <v>#NAME?</v>
      </c>
      <c r="O12" s="1679" t="e">
        <f t="shared" ca="1" si="0"/>
        <v>#NAME?</v>
      </c>
      <c r="P12" s="1641" t="e">
        <f t="shared" ca="1" si="19"/>
        <v>#NAME?</v>
      </c>
      <c r="Q12" s="1681" t="e">
        <f t="shared" ca="1" si="2"/>
        <v>#NAME?</v>
      </c>
      <c r="R12" s="1679" t="e">
        <f t="shared" ca="1" si="3"/>
        <v>#NAME?</v>
      </c>
      <c r="S12" s="1641" t="e">
        <f t="shared" ca="1" si="4"/>
        <v>#NAME?</v>
      </c>
      <c r="T12" s="1641" t="e">
        <f t="shared" ca="1" si="5"/>
        <v>#NAME?</v>
      </c>
      <c r="U12" s="1640" t="e">
        <f t="shared" ca="1" si="6"/>
        <v>#NAME?</v>
      </c>
      <c r="V12" s="1652" t="e">
        <f t="shared" ca="1" si="7"/>
        <v>#NAME?</v>
      </c>
      <c r="W12" s="1657">
        <f t="shared" si="15"/>
        <v>135</v>
      </c>
      <c r="X12" s="1658">
        <f t="shared" si="11"/>
        <v>-0.70710678118654746</v>
      </c>
      <c r="Y12" s="1659">
        <f t="shared" si="12"/>
        <v>0.70710678118654757</v>
      </c>
      <c r="Z12" s="1658" t="e">
        <f t="shared" ca="1" si="8"/>
        <v>#NAME?</v>
      </c>
      <c r="AA12" s="1659" t="e">
        <f t="shared" ca="1" si="9"/>
        <v>#NAME?</v>
      </c>
      <c r="AB12" s="144"/>
      <c r="AC12" s="144"/>
    </row>
    <row r="13" spans="1:29" ht="15" customHeight="1" x14ac:dyDescent="0.2">
      <c r="A13" s="1267">
        <f t="shared" si="13"/>
        <v>11</v>
      </c>
      <c r="B13" s="172">
        <v>1</v>
      </c>
      <c r="C13" s="1643">
        <v>1.4461220610675458</v>
      </c>
      <c r="D13" s="1644">
        <v>1.132925012280311</v>
      </c>
      <c r="E13" s="1660">
        <v>-1.0068914922039647</v>
      </c>
      <c r="G13" s="1575" t="s">
        <v>646</v>
      </c>
      <c r="H13" s="1547"/>
      <c r="I13" s="1547"/>
      <c r="J13" s="1548"/>
      <c r="K13" s="172" t="e">
        <f ca="1"/>
        <v>#NAME?</v>
      </c>
      <c r="L13" s="1643" t="e">
        <f ca="1"/>
        <v>#NAME?</v>
      </c>
      <c r="M13" s="1644" t="e">
        <f ca="1"/>
        <v>#NAME?</v>
      </c>
      <c r="N13" s="1645" t="e">
        <f ca="1"/>
        <v>#NAME?</v>
      </c>
      <c r="O13" s="1660" t="e">
        <f t="shared" ca="1" si="0"/>
        <v>#NAME?</v>
      </c>
      <c r="P13" s="1644" t="e">
        <f t="shared" ca="1" si="19"/>
        <v>#NAME?</v>
      </c>
      <c r="Q13" s="1661" t="e">
        <f t="shared" ca="1" si="2"/>
        <v>#NAME?</v>
      </c>
      <c r="R13" s="1660" t="e">
        <f t="shared" ca="1" si="3"/>
        <v>#NAME?</v>
      </c>
      <c r="S13" s="1644" t="e">
        <f t="shared" ca="1" si="4"/>
        <v>#NAME?</v>
      </c>
      <c r="T13" s="1644" t="e">
        <f t="shared" ca="1" si="5"/>
        <v>#NAME?</v>
      </c>
      <c r="U13" s="1643" t="e">
        <f t="shared" ca="1" si="6"/>
        <v>#NAME?</v>
      </c>
      <c r="V13" s="1645" t="e">
        <f t="shared" ca="1" si="7"/>
        <v>#NAME?</v>
      </c>
      <c r="W13" s="1662">
        <f t="shared" si="15"/>
        <v>150</v>
      </c>
      <c r="X13" s="1663">
        <f t="shared" si="11"/>
        <v>-0.86602540378443871</v>
      </c>
      <c r="Y13" s="1664">
        <f t="shared" si="12"/>
        <v>0.49999999999999994</v>
      </c>
      <c r="Z13" s="1663" t="e">
        <f t="shared" ca="1" si="8"/>
        <v>#NAME?</v>
      </c>
      <c r="AA13" s="1664" t="e">
        <f t="shared" ca="1" si="9"/>
        <v>#NAME?</v>
      </c>
      <c r="AB13" s="144"/>
      <c r="AC13" s="144"/>
    </row>
    <row r="14" spans="1:29" ht="15" customHeight="1" x14ac:dyDescent="0.2">
      <c r="A14" s="237">
        <f t="shared" si="13"/>
        <v>12</v>
      </c>
      <c r="B14" s="172">
        <v>1</v>
      </c>
      <c r="C14" s="1643">
        <v>-0.57160773194304793</v>
      </c>
      <c r="D14" s="1644">
        <v>-0.14427667625309915</v>
      </c>
      <c r="E14" s="1660">
        <v>0.96998970976716259</v>
      </c>
      <c r="G14" s="1307">
        <v>0</v>
      </c>
      <c r="H14" s="1620" t="s">
        <v>633</v>
      </c>
      <c r="I14" s="1621" t="s">
        <v>634</v>
      </c>
      <c r="J14" s="1622" t="s">
        <v>635</v>
      </c>
      <c r="K14" s="172" t="e">
        <f ca="1"/>
        <v>#NAME?</v>
      </c>
      <c r="L14" s="1643" t="e">
        <f ca="1"/>
        <v>#NAME?</v>
      </c>
      <c r="M14" s="1644" t="e">
        <f ca="1"/>
        <v>#NAME?</v>
      </c>
      <c r="N14" s="1645" t="e">
        <f ca="1"/>
        <v>#NAME?</v>
      </c>
      <c r="O14" s="1660" t="e">
        <f t="shared" ca="1" si="0"/>
        <v>#NAME?</v>
      </c>
      <c r="P14" s="1644" t="e">
        <f t="shared" ca="1" si="19"/>
        <v>#NAME?</v>
      </c>
      <c r="Q14" s="1661" t="e">
        <f t="shared" ca="1" si="2"/>
        <v>#NAME?</v>
      </c>
      <c r="R14" s="1660" t="e">
        <f t="shared" ca="1" si="3"/>
        <v>#NAME?</v>
      </c>
      <c r="S14" s="1644" t="e">
        <f t="shared" ca="1" si="4"/>
        <v>#NAME?</v>
      </c>
      <c r="T14" s="1644" t="e">
        <f t="shared" ca="1" si="5"/>
        <v>#NAME?</v>
      </c>
      <c r="U14" s="1643" t="e">
        <f t="shared" ca="1" si="6"/>
        <v>#NAME?</v>
      </c>
      <c r="V14" s="1645" t="e">
        <f t="shared" ca="1" si="7"/>
        <v>#NAME?</v>
      </c>
      <c r="W14" s="1662">
        <f t="shared" si="15"/>
        <v>165</v>
      </c>
      <c r="X14" s="1663">
        <f t="shared" si="11"/>
        <v>-0.9659258262890682</v>
      </c>
      <c r="Y14" s="1664">
        <f t="shared" si="12"/>
        <v>0.25881904510252102</v>
      </c>
      <c r="Z14" s="1663" t="e">
        <f t="shared" ca="1" si="8"/>
        <v>#NAME?</v>
      </c>
      <c r="AA14" s="1664" t="e">
        <f t="shared" ca="1" si="9"/>
        <v>#NAME?</v>
      </c>
      <c r="AB14" s="144"/>
      <c r="AC14" s="144"/>
    </row>
    <row r="15" spans="1:29" ht="15" customHeight="1" x14ac:dyDescent="0.2">
      <c r="A15" s="237">
        <f t="shared" si="13"/>
        <v>13</v>
      </c>
      <c r="B15" s="172">
        <v>1</v>
      </c>
      <c r="C15" s="1643">
        <v>-0.57160773194304793</v>
      </c>
      <c r="D15" s="1644">
        <v>0.37606475240865994</v>
      </c>
      <c r="E15" s="1660">
        <v>4.7445148847304171E-2</v>
      </c>
      <c r="F15" s="213">
        <v>0</v>
      </c>
      <c r="G15" s="1682" t="e">
        <f t="array" aca="1" ref="G15:J18" ca="1">MMULT(TRANSPOSE(W),W)</f>
        <v>#NAME?</v>
      </c>
      <c r="H15" s="1683" t="e">
        <f ca="1"/>
        <v>#NAME?</v>
      </c>
      <c r="I15" s="1683" t="e">
        <f ca="1"/>
        <v>#NAME?</v>
      </c>
      <c r="J15" s="1684" t="e">
        <f ca="1"/>
        <v>#NAME?</v>
      </c>
      <c r="K15" s="172" t="e">
        <f ca="1"/>
        <v>#NAME?</v>
      </c>
      <c r="L15" s="1643" t="e">
        <f ca="1"/>
        <v>#NAME?</v>
      </c>
      <c r="M15" s="1644" t="e">
        <f ca="1"/>
        <v>#NAME?</v>
      </c>
      <c r="N15" s="1645" t="e">
        <f ca="1"/>
        <v>#NAME?</v>
      </c>
      <c r="O15" s="1660" t="e">
        <f t="shared" ca="1" si="0"/>
        <v>#NAME?</v>
      </c>
      <c r="P15" s="1644" t="e">
        <f t="shared" ref="P15:P33" ca="1" si="20">(n*O15-1)/(n*h_max-1)</f>
        <v>#NAME?</v>
      </c>
      <c r="Q15" s="1661" t="e">
        <f t="shared" ca="1" si="2"/>
        <v>#NAME?</v>
      </c>
      <c r="R15" s="1660" t="e">
        <f t="shared" ca="1" si="3"/>
        <v>#NAME?</v>
      </c>
      <c r="S15" s="1644" t="e">
        <f t="shared" ca="1" si="4"/>
        <v>#NAME?</v>
      </c>
      <c r="T15" s="1644" t="e">
        <f t="shared" ca="1" si="5"/>
        <v>#NAME?</v>
      </c>
      <c r="U15" s="1643" t="e">
        <f t="shared" ca="1" si="6"/>
        <v>#NAME?</v>
      </c>
      <c r="V15" s="1645" t="e">
        <f t="shared" ca="1" si="7"/>
        <v>#NAME?</v>
      </c>
      <c r="W15" s="1657">
        <f t="shared" si="15"/>
        <v>180</v>
      </c>
      <c r="X15" s="1658">
        <f t="shared" si="11"/>
        <v>-1</v>
      </c>
      <c r="Y15" s="1659">
        <f t="shared" si="12"/>
        <v>1.2246467991473532E-16</v>
      </c>
      <c r="Z15" s="1658" t="e">
        <f t="shared" ca="1" si="8"/>
        <v>#NAME?</v>
      </c>
      <c r="AA15" s="1659" t="e">
        <f t="shared" ca="1" si="9"/>
        <v>#NAME?</v>
      </c>
      <c r="AB15" s="144"/>
      <c r="AC15" s="144"/>
    </row>
    <row r="16" spans="1:29" ht="15" customHeight="1" x14ac:dyDescent="0.2">
      <c r="A16" s="237">
        <f t="shared" si="13"/>
        <v>14</v>
      </c>
      <c r="B16" s="172">
        <v>1</v>
      </c>
      <c r="C16" s="1643">
        <v>-0.57160773194304793</v>
      </c>
      <c r="D16" s="1644">
        <v>-1.3741745985445302</v>
      </c>
      <c r="E16" s="1660">
        <v>-0.74330733194114396</v>
      </c>
      <c r="F16" s="1309" t="s">
        <v>633</v>
      </c>
      <c r="G16" s="1685" t="e">
        <f ca="1"/>
        <v>#NAME?</v>
      </c>
      <c r="H16" s="1682" t="e">
        <f ca="1"/>
        <v>#NAME?</v>
      </c>
      <c r="I16" s="1683" t="e">
        <f ca="1"/>
        <v>#NAME?</v>
      </c>
      <c r="J16" s="1684" t="e">
        <f ca="1"/>
        <v>#NAME?</v>
      </c>
      <c r="K16" s="172" t="e">
        <f ca="1"/>
        <v>#NAME?</v>
      </c>
      <c r="L16" s="1643" t="e">
        <f ca="1"/>
        <v>#NAME?</v>
      </c>
      <c r="M16" s="1644" t="e">
        <f ca="1"/>
        <v>#NAME?</v>
      </c>
      <c r="N16" s="1645" t="e">
        <f ca="1"/>
        <v>#NAME?</v>
      </c>
      <c r="O16" s="1660" t="e">
        <f t="shared" ca="1" si="0"/>
        <v>#NAME?</v>
      </c>
      <c r="P16" s="1644" t="e">
        <f t="shared" ca="1" si="20"/>
        <v>#NAME?</v>
      </c>
      <c r="Q16" s="1661" t="e">
        <f t="shared" ca="1" si="2"/>
        <v>#NAME?</v>
      </c>
      <c r="R16" s="1660" t="e">
        <f t="shared" ca="1" si="3"/>
        <v>#NAME?</v>
      </c>
      <c r="S16" s="1644" t="e">
        <f t="shared" ca="1" si="4"/>
        <v>#NAME?</v>
      </c>
      <c r="T16" s="1644" t="e">
        <f t="shared" ca="1" si="5"/>
        <v>#NAME?</v>
      </c>
      <c r="U16" s="1643" t="e">
        <f t="shared" ca="1" si="6"/>
        <v>#NAME?</v>
      </c>
      <c r="V16" s="1645" t="e">
        <f t="shared" ca="1" si="7"/>
        <v>#NAME?</v>
      </c>
      <c r="W16" s="1662">
        <f t="shared" si="15"/>
        <v>195</v>
      </c>
      <c r="X16" s="1663">
        <f t="shared" si="11"/>
        <v>-0.96592582628906831</v>
      </c>
      <c r="Y16" s="1664">
        <f t="shared" si="12"/>
        <v>-0.25881904510252079</v>
      </c>
      <c r="Z16" s="1663" t="e">
        <f t="shared" ca="1" si="8"/>
        <v>#NAME?</v>
      </c>
      <c r="AA16" s="1664" t="e">
        <f t="shared" ca="1" si="9"/>
        <v>#NAME?</v>
      </c>
      <c r="AB16" s="144"/>
      <c r="AC16" s="144"/>
    </row>
    <row r="17" spans="1:29" ht="15" customHeight="1" x14ac:dyDescent="0.2">
      <c r="A17" s="1261">
        <f t="shared" si="13"/>
        <v>15</v>
      </c>
      <c r="B17" s="160">
        <v>1</v>
      </c>
      <c r="C17" s="1653">
        <v>-0.57160773194304793</v>
      </c>
      <c r="D17" s="1654">
        <v>-0.80652940364079384</v>
      </c>
      <c r="E17" s="1689">
        <v>-1.1386835723353703</v>
      </c>
      <c r="F17" s="1309" t="s">
        <v>634</v>
      </c>
      <c r="G17" s="1685" t="e">
        <f ca="1"/>
        <v>#NAME?</v>
      </c>
      <c r="H17" s="1685" t="e">
        <f ca="1"/>
        <v>#NAME?</v>
      </c>
      <c r="I17" s="1682" t="e">
        <f ca="1"/>
        <v>#NAME?</v>
      </c>
      <c r="J17" s="1686" t="e">
        <f ca="1"/>
        <v>#NAME?</v>
      </c>
      <c r="K17" s="160" t="e">
        <f ca="1"/>
        <v>#NAME?</v>
      </c>
      <c r="L17" s="1653" t="e">
        <f ca="1"/>
        <v>#NAME?</v>
      </c>
      <c r="M17" s="1654" t="e">
        <f ca="1"/>
        <v>#NAME?</v>
      </c>
      <c r="N17" s="1655" t="e">
        <f ca="1"/>
        <v>#NAME?</v>
      </c>
      <c r="O17" s="1689" t="e">
        <f t="shared" ca="1" si="0"/>
        <v>#NAME?</v>
      </c>
      <c r="P17" s="1654" t="e">
        <f t="shared" ca="1" si="20"/>
        <v>#NAME?</v>
      </c>
      <c r="Q17" s="1690" t="e">
        <f t="shared" ca="1" si="2"/>
        <v>#NAME?</v>
      </c>
      <c r="R17" s="1689" t="e">
        <f t="shared" ca="1" si="3"/>
        <v>#NAME?</v>
      </c>
      <c r="S17" s="1654" t="e">
        <f t="shared" ca="1" si="4"/>
        <v>#NAME?</v>
      </c>
      <c r="T17" s="1654" t="e">
        <f t="shared" ca="1" si="5"/>
        <v>#NAME?</v>
      </c>
      <c r="U17" s="1653" t="e">
        <f t="shared" ca="1" si="6"/>
        <v>#NAME?</v>
      </c>
      <c r="V17" s="1655" t="e">
        <f t="shared" ca="1" si="7"/>
        <v>#NAME?</v>
      </c>
      <c r="W17" s="1662">
        <f t="shared" si="15"/>
        <v>210</v>
      </c>
      <c r="X17" s="1663">
        <f t="shared" si="11"/>
        <v>-0.8660254037844386</v>
      </c>
      <c r="Y17" s="1664">
        <f t="shared" si="12"/>
        <v>-0.50000000000000011</v>
      </c>
      <c r="Z17" s="1663" t="e">
        <f t="shared" ca="1" si="8"/>
        <v>#NAME?</v>
      </c>
      <c r="AA17" s="1664" t="e">
        <f t="shared" ca="1" si="9"/>
        <v>#NAME?</v>
      </c>
      <c r="AB17" s="144"/>
      <c r="AC17" s="144"/>
    </row>
    <row r="18" spans="1:29" ht="15" customHeight="1" x14ac:dyDescent="0.2">
      <c r="A18" s="209">
        <f t="shared" si="13"/>
        <v>16</v>
      </c>
      <c r="B18" s="1649">
        <v>1</v>
      </c>
      <c r="C18" s="1638">
        <v>0.56765944667644153</v>
      </c>
      <c r="D18" s="1650">
        <v>0.39971663552965059</v>
      </c>
      <c r="E18" s="1639">
        <v>1.1017817898985729</v>
      </c>
      <c r="F18" s="171" t="s">
        <v>635</v>
      </c>
      <c r="G18" s="1687" t="e">
        <f ca="1"/>
        <v>#NAME?</v>
      </c>
      <c r="H18" s="1687" t="e">
        <f ca="1"/>
        <v>#NAME?</v>
      </c>
      <c r="I18" s="1688" t="e">
        <f ca="1"/>
        <v>#NAME?</v>
      </c>
      <c r="J18" s="1682" t="e">
        <f ca="1"/>
        <v>#NAME?</v>
      </c>
      <c r="K18" s="1649" t="e">
        <f ca="1"/>
        <v>#NAME?</v>
      </c>
      <c r="L18" s="1638" t="e">
        <f ca="1"/>
        <v>#NAME?</v>
      </c>
      <c r="M18" s="1650" t="e">
        <f ca="1"/>
        <v>#NAME?</v>
      </c>
      <c r="N18" s="1651" t="e">
        <f ca="1"/>
        <v>#NAME?</v>
      </c>
      <c r="O18" s="1639" t="e">
        <f t="shared" ca="1" si="0"/>
        <v>#NAME?</v>
      </c>
      <c r="P18" s="1650" t="e">
        <f t="shared" ca="1" si="20"/>
        <v>#NAME?</v>
      </c>
      <c r="Q18" s="1676" t="e">
        <f t="shared" ca="1" si="2"/>
        <v>#NAME?</v>
      </c>
      <c r="R18" s="1639" t="e">
        <f t="shared" ca="1" si="3"/>
        <v>#NAME?</v>
      </c>
      <c r="S18" s="1650" t="e">
        <f t="shared" ca="1" si="4"/>
        <v>#NAME?</v>
      </c>
      <c r="T18" s="1650" t="e">
        <f t="shared" ca="1" si="5"/>
        <v>#NAME?</v>
      </c>
      <c r="U18" s="1638" t="e">
        <f t="shared" ca="1" si="6"/>
        <v>#NAME?</v>
      </c>
      <c r="V18" s="1651" t="e">
        <f t="shared" ca="1" si="7"/>
        <v>#NAME?</v>
      </c>
      <c r="W18" s="1657">
        <f t="shared" si="15"/>
        <v>225</v>
      </c>
      <c r="X18" s="1658">
        <f t="shared" si="11"/>
        <v>-0.70710678118654768</v>
      </c>
      <c r="Y18" s="1659">
        <f t="shared" si="12"/>
        <v>-0.70710678118654746</v>
      </c>
      <c r="Z18" s="1658" t="e">
        <f t="shared" ca="1" si="8"/>
        <v>#NAME?</v>
      </c>
      <c r="AA18" s="1659" t="e">
        <f t="shared" ca="1" si="9"/>
        <v>#NAME?</v>
      </c>
      <c r="AB18" s="144"/>
      <c r="AC18" s="144"/>
    </row>
    <row r="19" spans="1:29" ht="15" customHeight="1" x14ac:dyDescent="0.2">
      <c r="A19" s="1673">
        <f t="shared" si="13"/>
        <v>17</v>
      </c>
      <c r="B19" s="1649">
        <v>1</v>
      </c>
      <c r="C19" s="1638">
        <v>0.56765944667644153</v>
      </c>
      <c r="D19" s="1650">
        <v>-1.9418197934482684</v>
      </c>
      <c r="E19" s="1639">
        <v>0.57461346937294089</v>
      </c>
      <c r="K19" s="1649" t="e">
        <f ca="1"/>
        <v>#NAME?</v>
      </c>
      <c r="L19" s="1638" t="e">
        <f ca="1"/>
        <v>#NAME?</v>
      </c>
      <c r="M19" s="1650" t="e">
        <f ca="1"/>
        <v>#NAME?</v>
      </c>
      <c r="N19" s="1651" t="e">
        <f ca="1"/>
        <v>#NAME?</v>
      </c>
      <c r="O19" s="1639" t="e">
        <f t="shared" ca="1" si="0"/>
        <v>#NAME?</v>
      </c>
      <c r="P19" s="1650" t="e">
        <f t="shared" ca="1" si="20"/>
        <v>#NAME?</v>
      </c>
      <c r="Q19" s="1676" t="e">
        <f t="shared" ca="1" si="2"/>
        <v>#NAME?</v>
      </c>
      <c r="R19" s="1639" t="e">
        <f t="shared" ca="1" si="3"/>
        <v>#NAME?</v>
      </c>
      <c r="S19" s="1650" t="e">
        <f t="shared" ca="1" si="4"/>
        <v>#NAME?</v>
      </c>
      <c r="T19" s="1650" t="e">
        <f t="shared" ca="1" si="5"/>
        <v>#NAME?</v>
      </c>
      <c r="U19" s="1638" t="e">
        <f t="shared" ca="1" si="6"/>
        <v>#NAME?</v>
      </c>
      <c r="V19" s="1651" t="e">
        <f t="shared" ca="1" si="7"/>
        <v>#NAME?</v>
      </c>
      <c r="W19" s="1662">
        <f t="shared" si="15"/>
        <v>240</v>
      </c>
      <c r="X19" s="1663">
        <f t="shared" si="11"/>
        <v>-0.50000000000000044</v>
      </c>
      <c r="Y19" s="1664">
        <f t="shared" si="12"/>
        <v>-0.86602540378443837</v>
      </c>
      <c r="Z19" s="1663" t="e">
        <f t="shared" ca="1" si="8"/>
        <v>#NAME?</v>
      </c>
      <c r="AA19" s="1664" t="e">
        <f t="shared" ca="1" si="9"/>
        <v>#NAME?</v>
      </c>
      <c r="AB19" s="144"/>
      <c r="AC19" s="144"/>
    </row>
    <row r="20" spans="1:29" ht="15" customHeight="1" x14ac:dyDescent="0.2">
      <c r="A20" s="1673">
        <f t="shared" si="13"/>
        <v>18</v>
      </c>
      <c r="B20" s="1649">
        <v>1</v>
      </c>
      <c r="C20" s="1638">
        <v>0.56765944667644153</v>
      </c>
      <c r="D20" s="1650">
        <v>-1.2322632998185965</v>
      </c>
      <c r="E20" s="1639">
        <v>-1.1386835723353703</v>
      </c>
      <c r="K20" s="1649" t="e">
        <f ca="1"/>
        <v>#NAME?</v>
      </c>
      <c r="L20" s="1638" t="e">
        <f ca="1"/>
        <v>#NAME?</v>
      </c>
      <c r="M20" s="1650" t="e">
        <f ca="1"/>
        <v>#NAME?</v>
      </c>
      <c r="N20" s="1651" t="e">
        <f ca="1"/>
        <v>#NAME?</v>
      </c>
      <c r="O20" s="1639" t="e">
        <f t="shared" ca="1" si="0"/>
        <v>#NAME?</v>
      </c>
      <c r="P20" s="1650" t="e">
        <f t="shared" ca="1" si="20"/>
        <v>#NAME?</v>
      </c>
      <c r="Q20" s="1676" t="e">
        <f t="shared" ca="1" si="2"/>
        <v>#NAME?</v>
      </c>
      <c r="R20" s="1639" t="e">
        <f t="shared" ca="1" si="3"/>
        <v>#NAME?</v>
      </c>
      <c r="S20" s="1650" t="e">
        <f t="shared" ca="1" si="4"/>
        <v>#NAME?</v>
      </c>
      <c r="T20" s="1650" t="e">
        <f t="shared" ca="1" si="5"/>
        <v>#NAME?</v>
      </c>
      <c r="U20" s="1638" t="e">
        <f t="shared" ca="1" si="6"/>
        <v>#NAME?</v>
      </c>
      <c r="V20" s="1651" t="e">
        <f t="shared" ca="1" si="7"/>
        <v>#NAME?</v>
      </c>
      <c r="W20" s="1662">
        <f t="shared" si="15"/>
        <v>255</v>
      </c>
      <c r="X20" s="1663">
        <f t="shared" si="11"/>
        <v>-0.25881904510252063</v>
      </c>
      <c r="Y20" s="1664">
        <f t="shared" si="12"/>
        <v>-0.96592582628906831</v>
      </c>
      <c r="Z20" s="1663" t="e">
        <f t="shared" ca="1" si="8"/>
        <v>#NAME?</v>
      </c>
      <c r="AA20" s="1664" t="e">
        <f t="shared" ca="1" si="9"/>
        <v>#NAME?</v>
      </c>
      <c r="AB20" s="144"/>
      <c r="AC20" s="144"/>
    </row>
    <row r="21" spans="1:29" ht="15" customHeight="1" x14ac:dyDescent="0.2">
      <c r="A21" s="1673">
        <f t="shared" si="13"/>
        <v>19</v>
      </c>
      <c r="B21" s="1649">
        <v>1</v>
      </c>
      <c r="C21" s="1638">
        <v>0.56765944667644153</v>
      </c>
      <c r="D21" s="1650">
        <v>0.99101371355437751</v>
      </c>
      <c r="E21" s="1639">
        <v>-1.1386835723353703</v>
      </c>
      <c r="K21" s="1649" t="e">
        <f ca="1"/>
        <v>#NAME?</v>
      </c>
      <c r="L21" s="1638" t="e">
        <f ca="1"/>
        <v>#NAME?</v>
      </c>
      <c r="M21" s="1650" t="e">
        <f ca="1"/>
        <v>#NAME?</v>
      </c>
      <c r="N21" s="1651" t="e">
        <f ca="1"/>
        <v>#NAME?</v>
      </c>
      <c r="O21" s="1639" t="e">
        <f t="shared" ca="1" si="0"/>
        <v>#NAME?</v>
      </c>
      <c r="P21" s="1650" t="e">
        <f t="shared" ca="1" si="20"/>
        <v>#NAME?</v>
      </c>
      <c r="Q21" s="1676" t="e">
        <f t="shared" ca="1" si="2"/>
        <v>#NAME?</v>
      </c>
      <c r="R21" s="1639" t="e">
        <f t="shared" ca="1" si="3"/>
        <v>#NAME?</v>
      </c>
      <c r="S21" s="1650" t="e">
        <f t="shared" ca="1" si="4"/>
        <v>#NAME?</v>
      </c>
      <c r="T21" s="1650" t="e">
        <f t="shared" ca="1" si="5"/>
        <v>#NAME?</v>
      </c>
      <c r="U21" s="1638" t="e">
        <f t="shared" ca="1" si="6"/>
        <v>#NAME?</v>
      </c>
      <c r="V21" s="1651" t="e">
        <f t="shared" ca="1" si="7"/>
        <v>#NAME?</v>
      </c>
      <c r="W21" s="1657">
        <f t="shared" si="15"/>
        <v>270</v>
      </c>
      <c r="X21" s="1658">
        <f t="shared" si="11"/>
        <v>-1.8369701987210297E-16</v>
      </c>
      <c r="Y21" s="1659">
        <f t="shared" si="12"/>
        <v>-1</v>
      </c>
      <c r="Z21" s="1658" t="e">
        <f t="shared" ca="1" si="8"/>
        <v>#NAME?</v>
      </c>
      <c r="AA21" s="1659" t="e">
        <f t="shared" ca="1" si="9"/>
        <v>#NAME?</v>
      </c>
      <c r="AB21" s="144"/>
      <c r="AC21" s="144"/>
    </row>
    <row r="22" spans="1:29" ht="15" customHeight="1" x14ac:dyDescent="0.2">
      <c r="A22" s="1691">
        <f t="shared" si="13"/>
        <v>20</v>
      </c>
      <c r="B22" s="1308">
        <v>1</v>
      </c>
      <c r="C22" s="1640">
        <v>0.56765944667644153</v>
      </c>
      <c r="D22" s="1641">
        <v>0.61258358361855192</v>
      </c>
      <c r="E22" s="1679">
        <v>-1.4022677325981863</v>
      </c>
      <c r="K22" s="1308" t="e">
        <f ca="1"/>
        <v>#NAME?</v>
      </c>
      <c r="L22" s="1640" t="e">
        <f ca="1"/>
        <v>#NAME?</v>
      </c>
      <c r="M22" s="1641" t="e">
        <f ca="1"/>
        <v>#NAME?</v>
      </c>
      <c r="N22" s="1652" t="e">
        <f ca="1"/>
        <v>#NAME?</v>
      </c>
      <c r="O22" s="1679" t="e">
        <f t="shared" ca="1" si="0"/>
        <v>#NAME?</v>
      </c>
      <c r="P22" s="1641" t="e">
        <f t="shared" ca="1" si="20"/>
        <v>#NAME?</v>
      </c>
      <c r="Q22" s="1681" t="e">
        <f t="shared" ca="1" si="2"/>
        <v>#NAME?</v>
      </c>
      <c r="R22" s="1679" t="e">
        <f t="shared" ca="1" si="3"/>
        <v>#NAME?</v>
      </c>
      <c r="S22" s="1641" t="e">
        <f t="shared" ca="1" si="4"/>
        <v>#NAME?</v>
      </c>
      <c r="T22" s="1641" t="e">
        <f t="shared" ca="1" si="5"/>
        <v>#NAME?</v>
      </c>
      <c r="U22" s="1640" t="e">
        <f t="shared" ca="1" si="6"/>
        <v>#NAME?</v>
      </c>
      <c r="V22" s="1652" t="e">
        <f t="shared" ca="1" si="7"/>
        <v>#NAME?</v>
      </c>
      <c r="W22" s="1662">
        <f t="shared" si="15"/>
        <v>285</v>
      </c>
      <c r="X22" s="1663">
        <f t="shared" si="11"/>
        <v>0.2588190451025203</v>
      </c>
      <c r="Y22" s="1664">
        <f t="shared" si="12"/>
        <v>-0.96592582628906842</v>
      </c>
      <c r="Z22" s="1663" t="e">
        <f t="shared" ca="1" si="8"/>
        <v>#NAME?</v>
      </c>
      <c r="AA22" s="1664" t="e">
        <f t="shared" ca="1" si="9"/>
        <v>#NAME?</v>
      </c>
      <c r="AB22" s="144"/>
      <c r="AC22" s="144"/>
    </row>
    <row r="23" spans="1:29" ht="15" customHeight="1" x14ac:dyDescent="0.2">
      <c r="A23" s="1267">
        <f t="shared" si="13"/>
        <v>21</v>
      </c>
      <c r="B23" s="172">
        <v>1</v>
      </c>
      <c r="C23" s="1643">
        <v>-0.88096150425392816</v>
      </c>
      <c r="D23" s="1644">
        <v>0.12377957591031856</v>
      </c>
      <c r="E23" s="1660">
        <v>1.4971580302927994</v>
      </c>
      <c r="G23" s="144"/>
      <c r="H23" s="144"/>
      <c r="I23" s="144"/>
      <c r="J23" s="144"/>
      <c r="K23" s="172" t="e">
        <f ca="1"/>
        <v>#NAME?</v>
      </c>
      <c r="L23" s="1643" t="e">
        <f ca="1"/>
        <v>#NAME?</v>
      </c>
      <c r="M23" s="1644" t="e">
        <f ca="1"/>
        <v>#NAME?</v>
      </c>
      <c r="N23" s="1645" t="e">
        <f ca="1"/>
        <v>#NAME?</v>
      </c>
      <c r="O23" s="1660" t="e">
        <f t="shared" ca="1" si="0"/>
        <v>#NAME?</v>
      </c>
      <c r="P23" s="1644" t="e">
        <f t="shared" ca="1" si="20"/>
        <v>#NAME?</v>
      </c>
      <c r="Q23" s="1661" t="e">
        <f t="shared" ca="1" si="2"/>
        <v>#NAME?</v>
      </c>
      <c r="R23" s="1660" t="e">
        <f t="shared" ca="1" si="3"/>
        <v>#NAME?</v>
      </c>
      <c r="S23" s="1644" t="e">
        <f t="shared" ca="1" si="4"/>
        <v>#NAME?</v>
      </c>
      <c r="T23" s="1644" t="e">
        <f t="shared" ca="1" si="5"/>
        <v>#NAME?</v>
      </c>
      <c r="U23" s="1643" t="e">
        <f t="shared" ca="1" si="6"/>
        <v>#NAME?</v>
      </c>
      <c r="V23" s="1645" t="e">
        <f t="shared" ca="1" si="7"/>
        <v>#NAME?</v>
      </c>
      <c r="W23" s="1662">
        <f t="shared" si="15"/>
        <v>300</v>
      </c>
      <c r="X23" s="1663">
        <f t="shared" si="11"/>
        <v>0.50000000000000011</v>
      </c>
      <c r="Y23" s="1664">
        <f t="shared" si="12"/>
        <v>-0.8660254037844386</v>
      </c>
      <c r="Z23" s="1663" t="e">
        <f t="shared" ca="1" si="8"/>
        <v>#NAME?</v>
      </c>
      <c r="AA23" s="1664" t="e">
        <f t="shared" ca="1" si="9"/>
        <v>#NAME?</v>
      </c>
      <c r="AB23" s="144"/>
      <c r="AC23" s="144"/>
    </row>
    <row r="24" spans="1:29" ht="15" customHeight="1" x14ac:dyDescent="0.2">
      <c r="A24" s="237">
        <f t="shared" si="13"/>
        <v>22</v>
      </c>
      <c r="B24" s="172">
        <v>1</v>
      </c>
      <c r="C24" s="1643">
        <v>-0.88096150425392816</v>
      </c>
      <c r="D24" s="1644">
        <v>0.32482058243872564</v>
      </c>
      <c r="E24" s="1660">
        <v>1.1017817898985729</v>
      </c>
      <c r="G24" s="144"/>
      <c r="H24" s="144"/>
      <c r="I24" s="144"/>
      <c r="J24" s="144"/>
      <c r="K24" s="172" t="e">
        <f ca="1"/>
        <v>#NAME?</v>
      </c>
      <c r="L24" s="1643" t="e">
        <f ca="1"/>
        <v>#NAME?</v>
      </c>
      <c r="M24" s="1644" t="e">
        <f ca="1"/>
        <v>#NAME?</v>
      </c>
      <c r="N24" s="1645" t="e">
        <f ca="1"/>
        <v>#NAME?</v>
      </c>
      <c r="O24" s="1660" t="e">
        <f t="shared" ca="1" si="0"/>
        <v>#NAME?</v>
      </c>
      <c r="P24" s="1644" t="e">
        <f t="shared" ca="1" si="20"/>
        <v>#NAME?</v>
      </c>
      <c r="Q24" s="1661" t="e">
        <f t="shared" ca="1" si="2"/>
        <v>#NAME?</v>
      </c>
      <c r="R24" s="1660" t="e">
        <f t="shared" ca="1" si="3"/>
        <v>#NAME?</v>
      </c>
      <c r="S24" s="1644" t="e">
        <f t="shared" ca="1" si="4"/>
        <v>#NAME?</v>
      </c>
      <c r="T24" s="1644" t="e">
        <f t="shared" ca="1" si="5"/>
        <v>#NAME?</v>
      </c>
      <c r="U24" s="1643" t="e">
        <f t="shared" ca="1" si="6"/>
        <v>#NAME?</v>
      </c>
      <c r="V24" s="1645" t="e">
        <f t="shared" ca="1" si="7"/>
        <v>#NAME?</v>
      </c>
      <c r="W24" s="1657">
        <f t="shared" si="15"/>
        <v>315</v>
      </c>
      <c r="X24" s="1658">
        <f t="shared" si="11"/>
        <v>0.70710678118654735</v>
      </c>
      <c r="Y24" s="1659">
        <f t="shared" si="12"/>
        <v>-0.70710678118654768</v>
      </c>
      <c r="Z24" s="1658" t="e">
        <f t="shared" ca="1" si="8"/>
        <v>#NAME?</v>
      </c>
      <c r="AA24" s="1659" t="e">
        <f t="shared" ca="1" si="9"/>
        <v>#NAME?</v>
      </c>
      <c r="AB24" s="144"/>
      <c r="AC24" s="144"/>
    </row>
    <row r="25" spans="1:29" ht="15" customHeight="1" x14ac:dyDescent="0.2">
      <c r="A25" s="237">
        <f t="shared" si="13"/>
        <v>23</v>
      </c>
      <c r="B25" s="172">
        <v>1</v>
      </c>
      <c r="C25" s="1643">
        <v>-0.88096150425392816</v>
      </c>
      <c r="D25" s="1644">
        <v>0.52586158896713264</v>
      </c>
      <c r="E25" s="1660">
        <v>0.70640554950434653</v>
      </c>
      <c r="G25" s="144"/>
      <c r="H25" s="144"/>
      <c r="I25" s="144"/>
      <c r="J25" s="144"/>
      <c r="K25" s="172" t="e">
        <f ca="1"/>
        <v>#NAME?</v>
      </c>
      <c r="L25" s="1643" t="e">
        <f ca="1"/>
        <v>#NAME?</v>
      </c>
      <c r="M25" s="1644" t="e">
        <f ca="1"/>
        <v>#NAME?</v>
      </c>
      <c r="N25" s="1645" t="e">
        <f ca="1"/>
        <v>#NAME?</v>
      </c>
      <c r="O25" s="1660" t="e">
        <f t="shared" ca="1" si="0"/>
        <v>#NAME?</v>
      </c>
      <c r="P25" s="1644" t="e">
        <f t="shared" ca="1" si="20"/>
        <v>#NAME?</v>
      </c>
      <c r="Q25" s="1661" t="e">
        <f t="shared" ca="1" si="2"/>
        <v>#NAME?</v>
      </c>
      <c r="R25" s="1660" t="e">
        <f t="shared" ca="1" si="3"/>
        <v>#NAME?</v>
      </c>
      <c r="S25" s="1644" t="e">
        <f t="shared" ca="1" si="4"/>
        <v>#NAME?</v>
      </c>
      <c r="T25" s="1644" t="e">
        <f t="shared" ca="1" si="5"/>
        <v>#NAME?</v>
      </c>
      <c r="U25" s="1643" t="e">
        <f t="shared" ca="1" si="6"/>
        <v>#NAME?</v>
      </c>
      <c r="V25" s="1645" t="e">
        <f t="shared" ca="1" si="7"/>
        <v>#NAME?</v>
      </c>
      <c r="W25" s="1662">
        <f t="shared" si="15"/>
        <v>330</v>
      </c>
      <c r="X25" s="1663">
        <f t="shared" si="11"/>
        <v>0.86602540378443837</v>
      </c>
      <c r="Y25" s="1664">
        <f t="shared" si="12"/>
        <v>-0.50000000000000044</v>
      </c>
      <c r="Z25" s="1663" t="e">
        <f t="shared" ca="1" si="8"/>
        <v>#NAME?</v>
      </c>
      <c r="AA25" s="1664" t="e">
        <f t="shared" ca="1" si="9"/>
        <v>#NAME?</v>
      </c>
      <c r="AB25" s="144"/>
      <c r="AC25" s="144"/>
    </row>
    <row r="26" spans="1:29" ht="15" customHeight="1" x14ac:dyDescent="0.2">
      <c r="A26" s="237">
        <f t="shared" si="13"/>
        <v>24</v>
      </c>
      <c r="B26" s="172">
        <v>1</v>
      </c>
      <c r="C26" s="1643">
        <v>-0.88096150425392816</v>
      </c>
      <c r="D26" s="1644">
        <v>-0.9405551645341903</v>
      </c>
      <c r="E26" s="1660">
        <v>4.7445148847304171E-2</v>
      </c>
      <c r="G26" s="144"/>
      <c r="H26" s="144"/>
      <c r="I26" s="144"/>
      <c r="J26" s="144"/>
      <c r="K26" s="172" t="e">
        <f ca="1"/>
        <v>#NAME?</v>
      </c>
      <c r="L26" s="1643" t="e">
        <f ca="1"/>
        <v>#NAME?</v>
      </c>
      <c r="M26" s="1644" t="e">
        <f ca="1"/>
        <v>#NAME?</v>
      </c>
      <c r="N26" s="1645" t="e">
        <f ca="1"/>
        <v>#NAME?</v>
      </c>
      <c r="O26" s="1660" t="e">
        <f t="shared" ca="1" si="0"/>
        <v>#NAME?</v>
      </c>
      <c r="P26" s="1644" t="e">
        <f t="shared" ca="1" si="20"/>
        <v>#NAME?</v>
      </c>
      <c r="Q26" s="1661" t="e">
        <f t="shared" ca="1" si="2"/>
        <v>#NAME?</v>
      </c>
      <c r="R26" s="1660" t="e">
        <f t="shared" ca="1" si="3"/>
        <v>#NAME?</v>
      </c>
      <c r="S26" s="1644" t="e">
        <f t="shared" ca="1" si="4"/>
        <v>#NAME?</v>
      </c>
      <c r="T26" s="1644" t="e">
        <f t="shared" ca="1" si="5"/>
        <v>#NAME?</v>
      </c>
      <c r="U26" s="1643" t="e">
        <f t="shared" ca="1" si="6"/>
        <v>#NAME?</v>
      </c>
      <c r="V26" s="1645" t="e">
        <f t="shared" ca="1" si="7"/>
        <v>#NAME?</v>
      </c>
      <c r="W26" s="1662">
        <f t="shared" si="15"/>
        <v>345</v>
      </c>
      <c r="X26" s="1663">
        <f t="shared" si="11"/>
        <v>0.96592582628906831</v>
      </c>
      <c r="Y26" s="1664">
        <f t="shared" si="12"/>
        <v>-0.25881904510252068</v>
      </c>
      <c r="Z26" s="1663" t="e">
        <f t="shared" ca="1" si="8"/>
        <v>#NAME?</v>
      </c>
      <c r="AA26" s="1664" t="e">
        <f t="shared" ca="1" si="9"/>
        <v>#NAME?</v>
      </c>
      <c r="AB26" s="144"/>
      <c r="AC26" s="144"/>
    </row>
    <row r="27" spans="1:29" ht="15" customHeight="1" x14ac:dyDescent="0.2">
      <c r="A27" s="1261">
        <f t="shared" si="13"/>
        <v>25</v>
      </c>
      <c r="B27" s="160">
        <v>1</v>
      </c>
      <c r="C27" s="1653">
        <v>-0.88096150425392816</v>
      </c>
      <c r="D27" s="1654">
        <v>-5.7554681601679869E-2</v>
      </c>
      <c r="E27" s="1689">
        <v>-0.4797231716783279</v>
      </c>
      <c r="G27" s="144"/>
      <c r="H27" s="144"/>
      <c r="I27" s="144"/>
      <c r="J27" s="144"/>
      <c r="K27" s="160" t="e">
        <f ca="1"/>
        <v>#NAME?</v>
      </c>
      <c r="L27" s="1653" t="e">
        <f ca="1"/>
        <v>#NAME?</v>
      </c>
      <c r="M27" s="1654" t="e">
        <f ca="1"/>
        <v>#NAME?</v>
      </c>
      <c r="N27" s="1655" t="e">
        <f ca="1"/>
        <v>#NAME?</v>
      </c>
      <c r="O27" s="1689" t="e">
        <f t="shared" ca="1" si="0"/>
        <v>#NAME?</v>
      </c>
      <c r="P27" s="1654" t="e">
        <f t="shared" ca="1" si="20"/>
        <v>#NAME?</v>
      </c>
      <c r="Q27" s="1690" t="e">
        <f t="shared" ca="1" si="2"/>
        <v>#NAME?</v>
      </c>
      <c r="R27" s="1689" t="e">
        <f t="shared" ca="1" si="3"/>
        <v>#NAME?</v>
      </c>
      <c r="S27" s="1654" t="e">
        <f t="shared" ca="1" si="4"/>
        <v>#NAME?</v>
      </c>
      <c r="T27" s="1654" t="e">
        <f t="shared" ca="1" si="5"/>
        <v>#NAME?</v>
      </c>
      <c r="U27" s="1653" t="e">
        <f t="shared" ca="1" si="6"/>
        <v>#NAME?</v>
      </c>
      <c r="V27" s="1655" t="e">
        <f t="shared" ca="1" si="7"/>
        <v>#NAME?</v>
      </c>
      <c r="W27" s="1692">
        <f t="shared" si="15"/>
        <v>360</v>
      </c>
      <c r="X27" s="1693">
        <f t="shared" si="11"/>
        <v>1</v>
      </c>
      <c r="Y27" s="236">
        <f t="shared" si="12"/>
        <v>-2.4492935982947064E-16</v>
      </c>
      <c r="Z27" s="1693" t="e">
        <f t="shared" ca="1" si="8"/>
        <v>#NAME?</v>
      </c>
      <c r="AA27" s="236" t="e">
        <f t="shared" ca="1" si="9"/>
        <v>#NAME?</v>
      </c>
      <c r="AB27" s="144"/>
      <c r="AC27" s="144"/>
    </row>
    <row r="28" spans="1:29" ht="15" customHeight="1" x14ac:dyDescent="0.2">
      <c r="F28" s="1618"/>
      <c r="G28" s="144"/>
      <c r="H28" s="144"/>
      <c r="I28" s="144"/>
      <c r="J28" s="144"/>
      <c r="U28" s="1618"/>
      <c r="V28" s="1618"/>
    </row>
    <row r="29" spans="1:29" ht="15" customHeight="1" x14ac:dyDescent="0.2">
      <c r="A29" s="1694" t="s">
        <v>93</v>
      </c>
      <c r="B29" s="1646">
        <f t="shared" ref="B29:E29" si="21">AVERAGE(B3:B27)</f>
        <v>1</v>
      </c>
      <c r="C29" s="1695">
        <f t="shared" si="21"/>
        <v>-1.5543122344752192E-15</v>
      </c>
      <c r="D29" s="1683">
        <f t="shared" si="21"/>
        <v>-7.9047879353311147E-16</v>
      </c>
      <c r="E29" s="1684">
        <f t="shared" si="21"/>
        <v>-1.7030821197749901E-15</v>
      </c>
      <c r="G29" s="144"/>
      <c r="H29" s="144"/>
      <c r="I29" s="144"/>
      <c r="J29" s="182" t="s">
        <v>93</v>
      </c>
      <c r="K29" s="1646" t="e">
        <f t="shared" ref="K29:P29" ca="1" si="22">AVERAGE(K3:K26)</f>
        <v>#NAME?</v>
      </c>
      <c r="L29" s="1695" t="e">
        <f t="shared" ca="1" si="22"/>
        <v>#NAME?</v>
      </c>
      <c r="M29" s="1683" t="e">
        <f t="shared" ca="1" si="22"/>
        <v>#NAME?</v>
      </c>
      <c r="N29" s="1696" t="e">
        <f t="shared" ca="1" si="22"/>
        <v>#NAME?</v>
      </c>
      <c r="O29" s="1684" t="e">
        <f t="shared" ca="1" si="22"/>
        <v>#NAME?</v>
      </c>
      <c r="P29" s="1683" t="e">
        <f t="shared" ca="1" si="22"/>
        <v>#NAME?</v>
      </c>
      <c r="Q29" s="1625" t="s">
        <v>642</v>
      </c>
      <c r="R29" s="1626" t="s">
        <v>643</v>
      </c>
      <c r="S29" s="1627" t="s">
        <v>642</v>
      </c>
      <c r="T29" s="1626" t="s">
        <v>644</v>
      </c>
      <c r="U29" s="1627" t="s">
        <v>643</v>
      </c>
      <c r="V29" s="1628" t="s">
        <v>644</v>
      </c>
      <c r="X29" s="1697" t="s">
        <v>647</v>
      </c>
    </row>
    <row r="30" spans="1:29" ht="15" customHeight="1" x14ac:dyDescent="0.2">
      <c r="A30" s="1680" t="s">
        <v>88</v>
      </c>
      <c r="B30" s="1649">
        <f t="shared" ref="B30:E30" si="23">STDEV(B3:B27)</f>
        <v>0</v>
      </c>
      <c r="C30" s="1685">
        <f t="shared" si="23"/>
        <v>0.99999999999999978</v>
      </c>
      <c r="D30" s="1698">
        <f t="shared" si="23"/>
        <v>0.99999999999999989</v>
      </c>
      <c r="E30" s="1686">
        <f t="shared" si="23"/>
        <v>0.99999999999999989</v>
      </c>
      <c r="G30" s="144"/>
      <c r="H30" s="144"/>
      <c r="I30" s="144"/>
      <c r="J30" s="153" t="s">
        <v>88</v>
      </c>
      <c r="K30" s="1649" t="e">
        <f t="shared" ref="K30:P30" ca="1" si="24">STDEV(K3:K26)</f>
        <v>#NAME?</v>
      </c>
      <c r="L30" s="1685" t="e">
        <f t="shared" ca="1" si="24"/>
        <v>#NAME?</v>
      </c>
      <c r="M30" s="1698" t="e">
        <f t="shared" ca="1" si="24"/>
        <v>#NAME?</v>
      </c>
      <c r="N30" s="1699" t="e">
        <f t="shared" ca="1" si="24"/>
        <v>#NAME?</v>
      </c>
      <c r="O30" s="1700" t="e">
        <f t="shared" ca="1" si="24"/>
        <v>#NAME?</v>
      </c>
      <c r="P30" s="1688" t="e">
        <f t="shared" ca="1" si="24"/>
        <v>#NAME?</v>
      </c>
      <c r="Q30" s="1701">
        <v>0</v>
      </c>
      <c r="R30" s="1702">
        <v>0</v>
      </c>
      <c r="S30" s="1703">
        <v>0</v>
      </c>
      <c r="T30" s="1704">
        <v>0</v>
      </c>
      <c r="U30" s="1703">
        <v>0</v>
      </c>
      <c r="V30" s="1705">
        <v>0</v>
      </c>
      <c r="X30" s="151">
        <f>COUNTA(B2:E2)</f>
        <v>4</v>
      </c>
    </row>
    <row r="31" spans="1:29" ht="15" customHeight="1" x14ac:dyDescent="0.2">
      <c r="A31" s="1694" t="s">
        <v>129</v>
      </c>
      <c r="B31" s="1646">
        <f t="shared" ref="B31:E31" si="25">MIN(B3:B27)</f>
        <v>1</v>
      </c>
      <c r="C31" s="1695">
        <f t="shared" si="25"/>
        <v>-0.96475823014913797</v>
      </c>
      <c r="D31" s="1683">
        <f t="shared" si="25"/>
        <v>-1.9418197934482684</v>
      </c>
      <c r="E31" s="1684">
        <f t="shared" si="25"/>
        <v>-1.4022677325981863</v>
      </c>
      <c r="G31" s="144"/>
      <c r="H31" s="144"/>
      <c r="I31" s="144"/>
      <c r="J31" s="182" t="s">
        <v>129</v>
      </c>
      <c r="K31" s="1646" t="e">
        <f t="shared" ref="K31:P31" ca="1" si="26">MIN(K3:K26)</f>
        <v>#NAME?</v>
      </c>
      <c r="L31" s="1695" t="e">
        <f t="shared" ca="1" si="26"/>
        <v>#NAME?</v>
      </c>
      <c r="M31" s="1683" t="e">
        <f t="shared" ca="1" si="26"/>
        <v>#NAME?</v>
      </c>
      <c r="N31" s="1696" t="e">
        <f t="shared" ca="1" si="26"/>
        <v>#NAME?</v>
      </c>
      <c r="O31" s="1684" t="e">
        <f t="shared" ca="1" si="26"/>
        <v>#NAME?</v>
      </c>
      <c r="P31" s="1683" t="e">
        <f t="shared" ca="1" si="26"/>
        <v>#NAME?</v>
      </c>
      <c r="Q31" s="1706" t="e">
        <f ca="1">x_/SQRT(SUMSQ(x_,y_))*δ_pt</f>
        <v>#NAME?</v>
      </c>
      <c r="R31" s="1707" t="e">
        <f ca="1">y_/SQRT(SUMSQ(x_,y_))*δ_pt</f>
        <v>#NAME?</v>
      </c>
      <c r="S31" s="1708" t="e">
        <f ca="1">x_/SQRT(SUMSQ(x_,z_))*δ_pt</f>
        <v>#NAME?</v>
      </c>
      <c r="T31" s="1709" t="e">
        <f ca="1">z_/SQRT(SUMSQ(x_,z_))*δ_pt</f>
        <v>#NAME?</v>
      </c>
      <c r="U31" s="1708" t="e">
        <f ca="1">y_/SQRT(SUMSQ(y_,z_))*δ_pt</f>
        <v>#NAME?</v>
      </c>
      <c r="V31" s="1710" t="e">
        <f ca="1">z_/SQRT(SUMSQ(y_,z_))*δ_pt</f>
        <v>#NAME?</v>
      </c>
    </row>
    <row r="32" spans="1:29" ht="15" customHeight="1" x14ac:dyDescent="0.2">
      <c r="A32" s="1680" t="s">
        <v>128</v>
      </c>
      <c r="B32" s="1308">
        <f t="shared" ref="B32:E32" si="27">MAX(B3:B27)</f>
        <v>1</v>
      </c>
      <c r="C32" s="1687">
        <f t="shared" si="27"/>
        <v>1.4461220610675458</v>
      </c>
      <c r="D32" s="1688">
        <f t="shared" si="27"/>
        <v>2.4101267008137213</v>
      </c>
      <c r="E32" s="1700">
        <f t="shared" si="27"/>
        <v>1.8925342706870258</v>
      </c>
      <c r="G32" s="144"/>
      <c r="H32" s="144"/>
      <c r="I32" s="144"/>
      <c r="J32" s="153" t="s">
        <v>128</v>
      </c>
      <c r="K32" s="1308" t="e">
        <f t="shared" ref="K32:P32" ca="1" si="28">MAX(K3:K26)</f>
        <v>#NAME?</v>
      </c>
      <c r="L32" s="1687" t="e">
        <f t="shared" ca="1" si="28"/>
        <v>#NAME?</v>
      </c>
      <c r="M32" s="1688" t="e">
        <f t="shared" ca="1" si="28"/>
        <v>#NAME?</v>
      </c>
      <c r="N32" s="1711" t="e">
        <f t="shared" ca="1" si="28"/>
        <v>#NAME?</v>
      </c>
      <c r="O32" s="1700" t="e">
        <f t="shared" ca="1" si="28"/>
        <v>#NAME?</v>
      </c>
      <c r="P32" s="1712" t="e">
        <f t="shared" ca="1" si="28"/>
        <v>#NAME?</v>
      </c>
    </row>
    <row r="33" spans="1:35" s="1618" customFormat="1" x14ac:dyDescent="0.2">
      <c r="A33" s="144"/>
      <c r="B33" s="143"/>
      <c r="C33" s="144"/>
      <c r="D33" s="144"/>
      <c r="E33" s="144"/>
      <c r="F33" s="144"/>
      <c r="G33" s="144"/>
      <c r="H33" s="144"/>
      <c r="I33" s="144"/>
      <c r="K33" s="224"/>
      <c r="L33" s="197">
        <v>0</v>
      </c>
      <c r="M33" s="198">
        <v>0</v>
      </c>
      <c r="N33" s="1713">
        <v>0</v>
      </c>
      <c r="O33" s="1714" t="s">
        <v>640</v>
      </c>
      <c r="P33" s="1715" t="s">
        <v>641</v>
      </c>
      <c r="AG33" s="144"/>
      <c r="AH33" s="144"/>
      <c r="AI33" s="144"/>
    </row>
    <row r="34" spans="1:35" s="1618" customFormat="1" x14ac:dyDescent="0.2">
      <c r="A34" s="215" t="s">
        <v>79</v>
      </c>
      <c r="B34" s="197">
        <v>1.0000000000000688</v>
      </c>
      <c r="C34" s="1716">
        <v>-0.15511118310013089</v>
      </c>
      <c r="D34" s="1277">
        <v>2.0467541743287114</v>
      </c>
      <c r="E34" s="226">
        <v>1.6968483884973795</v>
      </c>
      <c r="G34" s="144"/>
      <c r="H34" s="144"/>
      <c r="I34" s="230"/>
      <c r="J34" s="1717" t="s">
        <v>648</v>
      </c>
      <c r="K34" s="197" t="e">
        <f t="array" aca="1" ref="K34:N34" ca="1">MMULT(B34:E34,MINVERSE(S))</f>
        <v>#NAME?</v>
      </c>
      <c r="L34" s="1716" t="e">
        <f ca="1"/>
        <v>#NAME?</v>
      </c>
      <c r="M34" s="1277" t="e">
        <f ca="1"/>
        <v>#NAME?</v>
      </c>
      <c r="N34" s="1718" t="e">
        <f ca="1"/>
        <v>#NAME?</v>
      </c>
      <c r="O34" s="1719" t="e">
        <f ca="1">SUMSQ(K34:N34)</f>
        <v>#NAME?</v>
      </c>
      <c r="P34" s="1720" t="e">
        <f ca="1">(n*O34-1)/(n*h_max-1)</f>
        <v>#NAME?</v>
      </c>
      <c r="AG34" s="144"/>
      <c r="AH34" s="144"/>
      <c r="AI34" s="144"/>
    </row>
    <row r="35" spans="1:35" s="1618" customFormat="1" x14ac:dyDescent="0.2">
      <c r="A35" s="144"/>
      <c r="B35" s="143"/>
      <c r="C35" s="144"/>
      <c r="D35" s="144"/>
      <c r="E35" s="144"/>
      <c r="F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AG35" s="144"/>
      <c r="AH35" s="144"/>
      <c r="AI35" s="144"/>
    </row>
    <row r="36" spans="1:35" s="1618" customFormat="1" ht="17" x14ac:dyDescent="0.25">
      <c r="A36" s="1721" t="s">
        <v>649</v>
      </c>
      <c r="B36" s="1721"/>
      <c r="C36" s="1721"/>
      <c r="D36" s="1721"/>
      <c r="E36" s="1721"/>
      <c r="G36" s="1721" t="s">
        <v>650</v>
      </c>
      <c r="H36" s="1722"/>
      <c r="I36" s="1722"/>
      <c r="J36" s="1722"/>
      <c r="K36" s="1722"/>
      <c r="M36" s="1721" t="s">
        <v>651</v>
      </c>
      <c r="N36" s="1721"/>
      <c r="O36" s="1721"/>
      <c r="P36" s="1722"/>
      <c r="Q36" s="1722"/>
      <c r="V36" s="144"/>
      <c r="AG36" s="144"/>
      <c r="AH36" s="144"/>
      <c r="AI36" s="144"/>
    </row>
    <row r="37" spans="1:35" s="1618" customFormat="1" x14ac:dyDescent="0.2">
      <c r="G37" s="144"/>
      <c r="H37" s="144"/>
      <c r="I37" s="144"/>
      <c r="J37" s="144"/>
      <c r="K37" s="144"/>
      <c r="L37" s="144"/>
      <c r="M37" s="144"/>
      <c r="Q37" s="144"/>
      <c r="R37" s="144"/>
      <c r="S37" s="144"/>
      <c r="T37" s="144"/>
      <c r="U37" s="144"/>
      <c r="V37" s="144"/>
      <c r="AG37" s="144"/>
      <c r="AH37" s="144"/>
      <c r="AI37" s="144"/>
    </row>
    <row r="38" spans="1:35" s="1618" customFormat="1" x14ac:dyDescent="0.2">
      <c r="G38" s="144"/>
      <c r="H38" s="144"/>
      <c r="I38" s="144"/>
      <c r="J38" s="144"/>
      <c r="K38" s="144"/>
      <c r="L38" s="144"/>
      <c r="M38" s="144"/>
      <c r="Q38" s="144"/>
      <c r="R38" s="144"/>
      <c r="S38" s="144"/>
      <c r="T38" s="144"/>
      <c r="U38" s="144"/>
      <c r="V38" s="144"/>
      <c r="AG38" s="144"/>
      <c r="AH38" s="144"/>
      <c r="AI38" s="144"/>
    </row>
    <row r="39" spans="1:35" s="1618" customFormat="1" x14ac:dyDescent="0.2">
      <c r="G39" s="144"/>
      <c r="H39" s="144"/>
      <c r="I39" s="144"/>
      <c r="J39" s="144"/>
      <c r="K39" s="144"/>
      <c r="L39" s="144"/>
      <c r="M39" s="144"/>
      <c r="Q39" s="144"/>
      <c r="R39" s="144"/>
      <c r="S39" s="144"/>
      <c r="T39" s="144"/>
      <c r="U39" s="144"/>
      <c r="V39" s="144"/>
      <c r="AG39" s="144"/>
      <c r="AH39" s="144"/>
      <c r="AI39" s="144"/>
    </row>
    <row r="40" spans="1:35" s="1618" customFormat="1" x14ac:dyDescent="0.2">
      <c r="G40" s="144"/>
      <c r="H40" s="144"/>
      <c r="I40" s="144"/>
      <c r="J40" s="144"/>
      <c r="K40" s="144"/>
      <c r="L40" s="144"/>
      <c r="M40" s="144"/>
      <c r="Q40" s="144"/>
      <c r="R40" s="144"/>
      <c r="S40" s="144"/>
      <c r="T40" s="144"/>
      <c r="U40" s="144"/>
      <c r="V40" s="144"/>
      <c r="AG40" s="144"/>
      <c r="AH40" s="144"/>
      <c r="AI40" s="144"/>
    </row>
    <row r="41" spans="1:35" s="1618" customFormat="1" x14ac:dyDescent="0.2">
      <c r="G41" s="144"/>
      <c r="H41" s="144"/>
      <c r="I41" s="144"/>
      <c r="J41" s="144"/>
      <c r="K41" s="144"/>
      <c r="L41" s="144"/>
      <c r="M41" s="144"/>
      <c r="Q41" s="144"/>
      <c r="R41" s="144"/>
      <c r="S41" s="144"/>
      <c r="T41" s="144"/>
      <c r="U41" s="144"/>
      <c r="V41" s="144"/>
      <c r="AG41" s="144"/>
      <c r="AH41" s="144"/>
      <c r="AI41" s="144"/>
    </row>
    <row r="42" spans="1:35" s="1618" customFormat="1" x14ac:dyDescent="0.2">
      <c r="G42" s="144"/>
      <c r="H42" s="144"/>
      <c r="I42" s="144"/>
      <c r="J42" s="144"/>
      <c r="K42" s="144"/>
      <c r="L42" s="144"/>
      <c r="M42" s="144"/>
      <c r="Q42" s="144"/>
      <c r="R42" s="144"/>
      <c r="S42" s="144"/>
      <c r="T42" s="144"/>
      <c r="U42" s="144"/>
      <c r="V42" s="144"/>
      <c r="AG42" s="144"/>
      <c r="AH42" s="144"/>
      <c r="AI42" s="144"/>
    </row>
    <row r="43" spans="1:35" s="1618" customFormat="1" x14ac:dyDescent="0.2">
      <c r="G43" s="144"/>
      <c r="H43" s="144"/>
      <c r="I43" s="144"/>
      <c r="J43" s="144"/>
      <c r="K43" s="144"/>
      <c r="L43" s="144"/>
      <c r="M43" s="144"/>
      <c r="Q43" s="144"/>
      <c r="R43" s="144"/>
      <c r="S43" s="144"/>
      <c r="T43" s="144"/>
      <c r="U43" s="144"/>
      <c r="V43" s="144"/>
      <c r="AG43" s="144"/>
      <c r="AH43" s="144"/>
      <c r="AI43" s="144"/>
    </row>
    <row r="44" spans="1:35" s="1618" customFormat="1" x14ac:dyDescent="0.2">
      <c r="G44" s="144"/>
      <c r="H44" s="144"/>
      <c r="I44" s="144"/>
      <c r="J44" s="144"/>
      <c r="K44" s="144"/>
      <c r="L44" s="144"/>
      <c r="M44" s="144"/>
      <c r="Q44" s="144"/>
      <c r="R44" s="144"/>
      <c r="S44" s="144"/>
      <c r="T44" s="144"/>
      <c r="U44" s="144"/>
      <c r="V44" s="144"/>
      <c r="AG44" s="144"/>
      <c r="AH44" s="144"/>
      <c r="AI44" s="144"/>
    </row>
    <row r="45" spans="1:35" s="1618" customFormat="1" x14ac:dyDescent="0.2">
      <c r="G45" s="144"/>
      <c r="H45" s="144"/>
      <c r="I45" s="144"/>
      <c r="J45" s="144"/>
      <c r="K45" s="144"/>
      <c r="L45" s="144"/>
      <c r="M45" s="144"/>
      <c r="Q45" s="144"/>
      <c r="R45" s="144"/>
      <c r="S45" s="144"/>
      <c r="T45" s="144"/>
      <c r="U45" s="144"/>
      <c r="V45" s="144"/>
      <c r="AG45" s="144"/>
      <c r="AH45" s="144"/>
      <c r="AI45" s="144"/>
    </row>
    <row r="46" spans="1:35" s="1618" customFormat="1" x14ac:dyDescent="0.2">
      <c r="G46" s="144"/>
      <c r="H46" s="144"/>
      <c r="I46" s="144"/>
      <c r="J46" s="144"/>
      <c r="K46" s="144"/>
      <c r="L46" s="144"/>
      <c r="M46" s="144"/>
      <c r="Q46" s="144"/>
      <c r="R46" s="144"/>
      <c r="S46" s="144"/>
      <c r="T46" s="144"/>
      <c r="U46" s="144"/>
      <c r="V46" s="144"/>
      <c r="AG46" s="144"/>
      <c r="AH46" s="144"/>
      <c r="AI46" s="144"/>
    </row>
    <row r="47" spans="1:35" s="1618" customFormat="1" x14ac:dyDescent="0.2">
      <c r="G47" s="144"/>
      <c r="H47" s="144"/>
      <c r="I47" s="144"/>
      <c r="J47" s="144"/>
      <c r="K47" s="144"/>
      <c r="L47" s="144"/>
      <c r="M47" s="144"/>
      <c r="Q47" s="144"/>
      <c r="R47" s="144"/>
      <c r="S47" s="144"/>
      <c r="T47" s="144"/>
      <c r="U47" s="144"/>
      <c r="V47" s="144"/>
      <c r="AG47" s="144"/>
      <c r="AH47" s="144"/>
      <c r="AI47" s="144"/>
    </row>
    <row r="48" spans="1:35" s="1618" customFormat="1" x14ac:dyDescent="0.2">
      <c r="G48" s="144"/>
      <c r="H48" s="144"/>
      <c r="I48" s="144"/>
      <c r="J48" s="144"/>
      <c r="K48" s="144"/>
      <c r="L48" s="144"/>
      <c r="M48" s="144"/>
      <c r="Q48" s="144"/>
      <c r="R48" s="144"/>
      <c r="S48" s="144"/>
      <c r="T48" s="144"/>
      <c r="U48" s="144"/>
      <c r="V48" s="144"/>
      <c r="AG48" s="144"/>
      <c r="AH48" s="144"/>
      <c r="AI48" s="144"/>
    </row>
    <row r="49" spans="2:35" s="1618" customFormat="1" x14ac:dyDescent="0.2">
      <c r="AG49" s="144"/>
      <c r="AH49" s="144"/>
      <c r="AI49" s="144"/>
    </row>
    <row r="50" spans="2:35" x14ac:dyDescent="0.2">
      <c r="F50" s="1618"/>
      <c r="W50" s="144"/>
    </row>
    <row r="64" spans="2:35" x14ac:dyDescent="0.2">
      <c r="B64" s="144"/>
    </row>
    <row r="66" spans="22:22" x14ac:dyDescent="0.2">
      <c r="V66" s="1618"/>
    </row>
    <row r="67" spans="22:22" x14ac:dyDescent="0.2">
      <c r="V67" s="1618"/>
    </row>
    <row r="68" spans="22:22" x14ac:dyDescent="0.2">
      <c r="V68" s="1618"/>
    </row>
    <row r="69" spans="22:22" x14ac:dyDescent="0.2">
      <c r="V69" s="1618"/>
    </row>
    <row r="70" spans="22:22" x14ac:dyDescent="0.2">
      <c r="V70" s="1618"/>
    </row>
    <row r="71" spans="22:22" x14ac:dyDescent="0.2">
      <c r="V71" s="1618"/>
    </row>
    <row r="72" spans="22:22" x14ac:dyDescent="0.2">
      <c r="V72" s="1618"/>
    </row>
    <row r="73" spans="22:22" x14ac:dyDescent="0.2">
      <c r="V73" s="1618"/>
    </row>
    <row r="74" spans="22:22" x14ac:dyDescent="0.2">
      <c r="V74" s="1618"/>
    </row>
    <row r="75" spans="22:22" x14ac:dyDescent="0.2">
      <c r="V75" s="1618"/>
    </row>
    <row r="76" spans="22:22" x14ac:dyDescent="0.2">
      <c r="V76" s="1618"/>
    </row>
    <row r="77" spans="22:22" x14ac:dyDescent="0.2">
      <c r="V77" s="1618"/>
    </row>
    <row r="78" spans="22:22" x14ac:dyDescent="0.2">
      <c r="V78" s="1618"/>
    </row>
    <row r="79" spans="22:22" x14ac:dyDescent="0.2">
      <c r="V79" s="1618"/>
    </row>
  </sheetData>
  <mergeCells count="12">
    <mergeCell ref="Z1:AA1"/>
    <mergeCell ref="G7:J7"/>
    <mergeCell ref="G13:J13"/>
    <mergeCell ref="A36:E36"/>
    <mergeCell ref="G36:K36"/>
    <mergeCell ref="M36:Q36"/>
    <mergeCell ref="A1:A2"/>
    <mergeCell ref="B1:E1"/>
    <mergeCell ref="G1:J1"/>
    <mergeCell ref="K1:N1"/>
    <mergeCell ref="Q1:V1"/>
    <mergeCell ref="X1:Y1"/>
  </mergeCells>
  <conditionalFormatting sqref="C34:E34">
    <cfRule type="cellIs" dxfId="12" priority="1" operator="between">
      <formula>0.9999</formula>
      <formula>1.0001</formula>
    </cfRule>
    <cfRule type="cellIs" dxfId="11" priority="2" operator="between">
      <formula>-0.0001</formula>
      <formula>0.0001</formula>
    </cfRule>
  </conditionalFormatting>
  <conditionalFormatting sqref="C29:P32 K34:P34">
    <cfRule type="cellIs" dxfId="9" priority="12" operator="between">
      <formula>0.9999</formula>
      <formula>1.0001</formula>
    </cfRule>
    <cfRule type="cellIs" dxfId="10" priority="13" operator="between">
      <formula>-0.0001</formula>
      <formula>0.0001</formula>
    </cfRule>
  </conditionalFormatting>
  <conditionalFormatting sqref="G3:J6">
    <cfRule type="cellIs" dxfId="6" priority="3" operator="between">
      <formula>-0.0001</formula>
      <formula>0.0001</formula>
    </cfRule>
    <cfRule type="cellIs" dxfId="8" priority="4" operator="between">
      <formula>0.9999</formula>
      <formula>1.0001</formula>
    </cfRule>
    <cfRule type="cellIs" dxfId="7" priority="5" operator="between">
      <formula>-0.0001</formula>
      <formula>0.0001</formula>
    </cfRule>
  </conditionalFormatting>
  <conditionalFormatting sqref="G9:J12">
    <cfRule type="cellIs" dxfId="3" priority="6" operator="between">
      <formula>-0.0001</formula>
      <formula>0.0001</formula>
    </cfRule>
    <cfRule type="cellIs" dxfId="4" priority="7" operator="between">
      <formula>0.9999</formula>
      <formula>1.0001</formula>
    </cfRule>
    <cfRule type="cellIs" dxfId="5" priority="8" operator="between">
      <formula>-0.0001</formula>
      <formula>0.0001</formula>
    </cfRule>
  </conditionalFormatting>
  <conditionalFormatting sqref="G15:J18">
    <cfRule type="cellIs" dxfId="0" priority="9" operator="between">
      <formula>-0.0001</formula>
      <formula>0.0001</formula>
    </cfRule>
    <cfRule type="cellIs" dxfId="2" priority="10" operator="between">
      <formula>0.9999</formula>
      <formula>1.0001</formula>
    </cfRule>
    <cfRule type="cellIs" dxfId="1" priority="11" operator="between">
      <formula>-0.0001</formula>
      <formula>0.0001</formula>
    </cfRule>
  </conditionalFormatting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135EA-89AE-D849-A182-23B3328574BA}">
  <dimension ref="A1:BN132"/>
  <sheetViews>
    <sheetView showGridLines="0" zoomScaleNormal="100" workbookViewId="0">
      <pane ySplit="2" topLeftCell="A4" activePane="bottomLeft" state="frozen"/>
      <selection activeCell="M5" sqref="M5"/>
      <selection pane="bottomLeft" activeCell="AE31" sqref="AE31"/>
    </sheetView>
  </sheetViews>
  <sheetFormatPr baseColWidth="10" defaultColWidth="6.6640625" defaultRowHeight="15" customHeight="1" x14ac:dyDescent="0.2"/>
  <cols>
    <col min="1" max="2" width="6.6640625" style="1186"/>
    <col min="3" max="3" width="3.6640625" style="1169" customWidth="1"/>
    <col min="4" max="10" width="6.6640625" style="1218"/>
    <col min="11" max="11" width="6.6640625" style="1169"/>
    <col min="12" max="21" width="6.6640625" style="1169" customWidth="1"/>
    <col min="22" max="22" width="6.5" style="1246" customWidth="1"/>
    <col min="23" max="23" width="6.6640625" style="1169" customWidth="1"/>
    <col min="24" max="24" width="7.33203125" style="1169" customWidth="1"/>
    <col min="25" max="25" width="6.5" style="1247" customWidth="1"/>
    <col min="26" max="32" width="6.6640625" style="1169" customWidth="1"/>
    <col min="33" max="33" width="7.1640625" style="1169" bestFit="1" customWidth="1"/>
    <col min="34" max="35" width="6.6640625" style="1142" customWidth="1"/>
    <col min="36" max="36" width="6.6640625" style="1142"/>
    <col min="37" max="42" width="6.6640625" style="1142" customWidth="1"/>
    <col min="43" max="66" width="6.6640625" style="1142"/>
    <col min="67" max="16384" width="6.6640625" style="1169"/>
  </cols>
  <sheetData>
    <row r="1" spans="1:33" ht="15" customHeight="1" x14ac:dyDescent="0.2">
      <c r="A1" s="1562" t="s">
        <v>572</v>
      </c>
      <c r="B1" s="1563"/>
      <c r="C1" s="1564" t="s">
        <v>573</v>
      </c>
      <c r="D1" s="1565"/>
      <c r="E1" s="1565"/>
      <c r="F1" s="1565"/>
      <c r="G1" s="1565"/>
      <c r="H1" s="1565"/>
      <c r="I1" s="1565"/>
      <c r="J1" s="1566"/>
      <c r="K1" s="1567" t="s">
        <v>574</v>
      </c>
      <c r="L1" s="1568"/>
      <c r="M1" s="1568"/>
      <c r="N1" s="1568"/>
      <c r="O1" s="1568"/>
      <c r="P1" s="1568"/>
      <c r="Q1" s="1568"/>
      <c r="R1" s="1568"/>
      <c r="S1" s="1569"/>
      <c r="T1" s="1564" t="s">
        <v>575</v>
      </c>
      <c r="U1" s="1565"/>
      <c r="V1" s="1565"/>
      <c r="W1" s="1565"/>
      <c r="X1" s="1565"/>
      <c r="Y1" s="1565"/>
      <c r="Z1" s="1565"/>
      <c r="AA1" s="1565"/>
      <c r="AB1" s="1566"/>
    </row>
    <row r="2" spans="1:33" ht="16" x14ac:dyDescent="0.2">
      <c r="A2" s="1170" t="s">
        <v>576</v>
      </c>
      <c r="B2" s="1171" t="s">
        <v>577</v>
      </c>
      <c r="C2" s="1172">
        <v>0</v>
      </c>
      <c r="D2" s="1173" t="s">
        <v>578</v>
      </c>
      <c r="E2" s="1174" t="s">
        <v>579</v>
      </c>
      <c r="F2" s="1174" t="s">
        <v>580</v>
      </c>
      <c r="G2" s="1175" t="s">
        <v>581</v>
      </c>
      <c r="H2" s="1176" t="s">
        <v>569</v>
      </c>
      <c r="I2" s="1174" t="s">
        <v>570</v>
      </c>
      <c r="J2" s="1175" t="s">
        <v>571</v>
      </c>
      <c r="K2" s="1177"/>
      <c r="L2" s="1178" t="s">
        <v>564</v>
      </c>
      <c r="M2" s="1179" t="s">
        <v>565</v>
      </c>
      <c r="N2" s="1179" t="s">
        <v>566</v>
      </c>
      <c r="O2" s="1179" t="s">
        <v>567</v>
      </c>
      <c r="P2" s="1179" t="s">
        <v>568</v>
      </c>
      <c r="Q2" s="1180" t="s">
        <v>569</v>
      </c>
      <c r="R2" s="1179" t="s">
        <v>570</v>
      </c>
      <c r="S2" s="1181" t="s">
        <v>571</v>
      </c>
      <c r="T2" s="1182" t="s">
        <v>87</v>
      </c>
      <c r="U2" s="1140" t="s">
        <v>582</v>
      </c>
      <c r="V2" s="1166">
        <v>-4</v>
      </c>
      <c r="W2" s="1136" t="s">
        <v>87</v>
      </c>
      <c r="X2" s="1183" t="s">
        <v>583</v>
      </c>
      <c r="Y2" s="1136" t="s">
        <v>87</v>
      </c>
      <c r="Z2" s="1183" t="s">
        <v>583</v>
      </c>
      <c r="AA2" s="1136" t="s">
        <v>87</v>
      </c>
      <c r="AB2" s="1183" t="s">
        <v>584</v>
      </c>
      <c r="AC2" s="1142"/>
      <c r="AD2" s="1142"/>
      <c r="AE2" s="1142"/>
      <c r="AF2" s="1142"/>
      <c r="AG2" s="1142"/>
    </row>
    <row r="3" spans="1:33" ht="15" customHeight="1" x14ac:dyDescent="0.2">
      <c r="A3" s="1184">
        <v>0.28567437738694068</v>
      </c>
      <c r="B3" s="1185">
        <v>0.43309209415327321</v>
      </c>
      <c r="C3" s="1186">
        <v>1</v>
      </c>
      <c r="D3" s="1187">
        <v>1.0960643050862811</v>
      </c>
      <c r="E3" s="1188">
        <v>1.7528234779294138</v>
      </c>
      <c r="F3" s="1188">
        <v>5.3499626188813883E-2</v>
      </c>
      <c r="G3" s="1189">
        <v>0.73787490918291132</v>
      </c>
      <c r="H3" s="1190">
        <v>0.14927774756530943</v>
      </c>
      <c r="I3" s="1188">
        <v>0.69312456653436127</v>
      </c>
      <c r="J3" s="1189">
        <v>0.32414221974602908</v>
      </c>
      <c r="K3" s="1191" t="s">
        <v>564</v>
      </c>
      <c r="L3" s="1192">
        <f t="array" ref="L3:S10">MMULT(TRANSPOSE(X),X)</f>
        <v>11</v>
      </c>
      <c r="M3" s="1167">
        <v>4.8667165836035533</v>
      </c>
      <c r="N3" s="1167">
        <v>-12.759471796855223</v>
      </c>
      <c r="O3" s="1167">
        <v>4.7780305875549072</v>
      </c>
      <c r="P3" s="1167" t="e">
        <v>#N/A</v>
      </c>
      <c r="Q3" s="1192" t="e">
        <v>#N/A</v>
      </c>
      <c r="R3" s="1167" t="e">
        <v>#N/A</v>
      </c>
      <c r="S3" s="1168" t="e">
        <v>#N/A</v>
      </c>
      <c r="T3" s="1198">
        <f>(V3-V2)/50</f>
        <v>0.24</v>
      </c>
      <c r="U3" s="1162" t="s">
        <v>585</v>
      </c>
      <c r="V3" s="1199">
        <v>8</v>
      </c>
      <c r="W3" s="1162">
        <f>(-AD22+4)/50</f>
        <v>1.6351073894325819E-2</v>
      </c>
      <c r="X3" s="1200" t="s">
        <v>22</v>
      </c>
      <c r="Y3" s="1162">
        <f>(8-Y5)/50</f>
        <v>9.6351073894325817E-2</v>
      </c>
      <c r="Z3" s="1200" t="s">
        <v>23</v>
      </c>
      <c r="AA3" s="1162">
        <f>(AD22-AD21)/50</f>
        <v>0.12729785221134837</v>
      </c>
      <c r="AB3" s="1200"/>
      <c r="AC3" s="1142"/>
      <c r="AD3" s="1142"/>
      <c r="AE3" s="1142"/>
      <c r="AF3" s="1142"/>
      <c r="AG3" s="1142"/>
    </row>
    <row r="4" spans="1:33" ht="15" customHeight="1" x14ac:dyDescent="0.2">
      <c r="A4" s="1184">
        <v>0.1873528437063405</v>
      </c>
      <c r="B4" s="1185">
        <v>-7.4151337250430396E-2</v>
      </c>
      <c r="C4" s="1186">
        <v>1</v>
      </c>
      <c r="D4" s="1187">
        <v>1.6157449276045244</v>
      </c>
      <c r="E4" s="1188">
        <v>1.7528234779294138</v>
      </c>
      <c r="F4" s="1188">
        <v>0.17584871129048332</v>
      </c>
      <c r="G4" s="1189">
        <v>0.73787490918291132</v>
      </c>
      <c r="H4" s="1190">
        <v>1.1547376360810746</v>
      </c>
      <c r="I4" s="1188">
        <v>1.0658738746875451</v>
      </c>
      <c r="J4" s="1189">
        <v>0.52635033598041303</v>
      </c>
      <c r="K4" s="1201" t="s">
        <v>565</v>
      </c>
      <c r="L4" s="1193">
        <v>4.8667165836035533</v>
      </c>
      <c r="M4" s="1177">
        <v>3.3890485995649047</v>
      </c>
      <c r="N4" s="1177">
        <v>-4.6882533513460825</v>
      </c>
      <c r="O4" s="1177">
        <v>3.023255329463769</v>
      </c>
      <c r="P4" s="1177" t="e">
        <v>#N/A</v>
      </c>
      <c r="Q4" s="1193" t="e">
        <v>#N/A</v>
      </c>
      <c r="R4" s="1177" t="e">
        <v>#N/A</v>
      </c>
      <c r="S4" s="1194" t="e">
        <v>#N/A</v>
      </c>
      <c r="T4" s="1202" t="s">
        <v>43</v>
      </c>
      <c r="U4" s="1166" t="s">
        <v>586</v>
      </c>
      <c r="V4" s="1166" t="s">
        <v>587</v>
      </c>
      <c r="W4" s="1140" t="s">
        <v>43</v>
      </c>
      <c r="X4" s="1166" t="s">
        <v>586</v>
      </c>
      <c r="Y4" s="1140" t="s">
        <v>43</v>
      </c>
      <c r="Z4" s="1166" t="s">
        <v>586</v>
      </c>
      <c r="AA4" s="1140" t="s">
        <v>43</v>
      </c>
      <c r="AB4" s="1166" t="s">
        <v>587</v>
      </c>
      <c r="AC4" s="1142"/>
      <c r="AD4" s="1142"/>
      <c r="AE4" s="1142"/>
      <c r="AF4" s="1142"/>
      <c r="AG4" s="1142"/>
    </row>
    <row r="5" spans="1:33" ht="15" customHeight="1" x14ac:dyDescent="0.2">
      <c r="A5" s="1184">
        <v>0.53147821158844111</v>
      </c>
      <c r="B5" s="1185">
        <v>0.64147956916746218</v>
      </c>
      <c r="C5" s="1186">
        <v>1</v>
      </c>
      <c r="D5" s="1187">
        <v>0.27942332684332755</v>
      </c>
      <c r="E5" s="1188">
        <v>1.7528234779294138</v>
      </c>
      <c r="F5" s="1188">
        <v>0.60814881198304871</v>
      </c>
      <c r="G5" s="1189">
        <v>0.73787490918291132</v>
      </c>
      <c r="H5" s="1190">
        <v>-0.65213629777862248</v>
      </c>
      <c r="I5" s="1188">
        <v>0.1073756537222153</v>
      </c>
      <c r="J5" s="1189">
        <v>1.2408190133419033</v>
      </c>
      <c r="K5" s="1201" t="s">
        <v>566</v>
      </c>
      <c r="L5" s="1193">
        <v>-12.759471796855223</v>
      </c>
      <c r="M5" s="1177">
        <v>-4.6882533513460825</v>
      </c>
      <c r="N5" s="1177">
        <v>27.319571097202719</v>
      </c>
      <c r="O5" s="1177">
        <v>-2.6512083857349014</v>
      </c>
      <c r="P5" s="1177" t="e">
        <v>#N/A</v>
      </c>
      <c r="Q5" s="1193" t="e">
        <v>#N/A</v>
      </c>
      <c r="R5" s="1177" t="e">
        <v>#N/A</v>
      </c>
      <c r="S5" s="1194" t="e">
        <v>#N/A</v>
      </c>
      <c r="T5" s="1203">
        <v>-4</v>
      </c>
      <c r="U5" s="1204" t="e">
        <f ca="1">[8]!NT_DIST(T5,DFR,0,0)</f>
        <v>#NAME?</v>
      </c>
      <c r="V5" s="1204">
        <v>8.5875750954755858E-14</v>
      </c>
      <c r="W5" s="1205">
        <v>-4</v>
      </c>
      <c r="X5" s="1204" t="e">
        <f ca="1">[8]!NT_DIST(W5,DFR,0,0)</f>
        <v>#NAME?</v>
      </c>
      <c r="Y5" s="1205">
        <f>AD22</f>
        <v>3.1824463052837091</v>
      </c>
      <c r="Z5" s="1206" t="e">
        <f ca="1">[8]!NT_DIST(Y5,DFR,0,0)</f>
        <v>#NAME?</v>
      </c>
      <c r="AA5" s="1205">
        <f>AD21</f>
        <v>-3.1824463052837091</v>
      </c>
      <c r="AB5" s="1206">
        <v>1.959153430483492E-8</v>
      </c>
      <c r="AC5" s="1142"/>
      <c r="AD5" s="1142"/>
      <c r="AE5" s="1142"/>
      <c r="AF5" s="1142"/>
      <c r="AG5" s="1142"/>
    </row>
    <row r="6" spans="1:33" ht="15" customHeight="1" x14ac:dyDescent="0.2">
      <c r="A6" s="1184">
        <v>0.33483514422724081</v>
      </c>
      <c r="B6" s="1185">
        <v>0.27508583309703427</v>
      </c>
      <c r="C6" s="1186">
        <v>1</v>
      </c>
      <c r="D6" s="1187">
        <v>0.87334403829274831</v>
      </c>
      <c r="E6" s="1188">
        <v>1.7528234779294138</v>
      </c>
      <c r="F6" s="1188">
        <v>0.5592091779423809</v>
      </c>
      <c r="G6" s="1189">
        <v>0.73787490918291132</v>
      </c>
      <c r="H6" s="1190">
        <v>-0.16366479218244492</v>
      </c>
      <c r="I6" s="1188">
        <v>0.53337486304013959</v>
      </c>
      <c r="J6" s="1189">
        <v>1.1599357668481496</v>
      </c>
      <c r="K6" s="1201" t="s">
        <v>567</v>
      </c>
      <c r="L6" s="1193">
        <v>4.7780305875549072</v>
      </c>
      <c r="M6" s="1177">
        <v>3.023255329463769</v>
      </c>
      <c r="N6" s="1177">
        <v>-2.6512083857349014</v>
      </c>
      <c r="O6" s="1177">
        <v>3.2600000000000007</v>
      </c>
      <c r="P6" s="1177" t="e">
        <v>#N/A</v>
      </c>
      <c r="Q6" s="1193" t="e">
        <v>#N/A</v>
      </c>
      <c r="R6" s="1177" t="e">
        <v>#N/A</v>
      </c>
      <c r="S6" s="1194" t="e">
        <v>#N/A</v>
      </c>
      <c r="T6" s="1207">
        <f t="shared" ref="T6:T55" si="0">T5+T$3</f>
        <v>-3.76</v>
      </c>
      <c r="U6" s="1208" t="e">
        <f ca="1">[8]!NT_DIST(T6,DFR,0,0)</f>
        <v>#NAME?</v>
      </c>
      <c r="V6" s="1208">
        <v>4.2516226945685186E-13</v>
      </c>
      <c r="W6" s="1209">
        <f t="shared" ref="W6:W55" si="1">W5+W$3</f>
        <v>-3.983648926105674</v>
      </c>
      <c r="X6" s="1208" t="e">
        <f ca="1">[8]!NT_DIST(W6,DFR,0,0)</f>
        <v>#NAME?</v>
      </c>
      <c r="Y6" s="1209">
        <f t="shared" ref="Y6:Y55" si="2">Y5+Y$3</f>
        <v>3.2787973791780347</v>
      </c>
      <c r="Z6" s="1210" t="e">
        <f ca="1">[8]!NT_DIST(Y6,DFR,0,0)</f>
        <v>#NAME?</v>
      </c>
      <c r="AA6" s="1209">
        <f t="shared" ref="AA6:AA55" si="3">AA5+AA$3</f>
        <v>-3.0551484530723609</v>
      </c>
      <c r="AB6" s="1210">
        <v>3.0234868602183188E-8</v>
      </c>
      <c r="AC6" s="1142"/>
      <c r="AD6" s="1142"/>
      <c r="AE6" s="1142"/>
      <c r="AF6" s="1142"/>
      <c r="AG6" s="1142"/>
    </row>
    <row r="7" spans="1:33" ht="15" customHeight="1" x14ac:dyDescent="0.2">
      <c r="A7" s="1184">
        <v>8.9031310025740343E-2</v>
      </c>
      <c r="B7" s="1185">
        <v>-0.16657508073961413</v>
      </c>
      <c r="C7" s="1186">
        <v>1</v>
      </c>
      <c r="D7" s="1187">
        <v>1.4672647497421691</v>
      </c>
      <c r="E7" s="1188">
        <v>1.7528234779294138</v>
      </c>
      <c r="F7" s="1188">
        <v>0.51842614957515776</v>
      </c>
      <c r="G7" s="1189">
        <v>0.73787490918291132</v>
      </c>
      <c r="H7" s="1190">
        <v>0.82814043520452207</v>
      </c>
      <c r="I7" s="1188">
        <v>0.95937407235806393</v>
      </c>
      <c r="J7" s="1189">
        <v>1.0925330614366882</v>
      </c>
      <c r="K7" s="1201" t="s">
        <v>568</v>
      </c>
      <c r="L7" s="1193" t="e">
        <v>#N/A</v>
      </c>
      <c r="M7" s="1177" t="e">
        <v>#N/A</v>
      </c>
      <c r="N7" s="1177" t="e">
        <v>#N/A</v>
      </c>
      <c r="O7" s="1177" t="e">
        <v>#N/A</v>
      </c>
      <c r="P7" s="1177" t="e">
        <v>#N/A</v>
      </c>
      <c r="Q7" s="1193" t="e">
        <v>#N/A</v>
      </c>
      <c r="R7" s="1177" t="e">
        <v>#N/A</v>
      </c>
      <c r="S7" s="1194" t="e">
        <v>#N/A</v>
      </c>
      <c r="T7" s="1207">
        <f t="shared" si="0"/>
        <v>-3.5199999999999996</v>
      </c>
      <c r="U7" s="1208" t="e">
        <f ca="1">[8]!NT_DIST(T7,DFR,0,0)</f>
        <v>#NAME?</v>
      </c>
      <c r="V7" s="1208">
        <v>1.9855014097493817E-12</v>
      </c>
      <c r="W7" s="1209">
        <f t="shared" si="1"/>
        <v>-3.967297852211348</v>
      </c>
      <c r="X7" s="1208" t="e">
        <f ca="1">[8]!NT_DIST(W7,DFR,0,0)</f>
        <v>#NAME?</v>
      </c>
      <c r="Y7" s="1209">
        <f t="shared" si="2"/>
        <v>3.3751484530723603</v>
      </c>
      <c r="Z7" s="1210" t="e">
        <f ca="1">[8]!NT_DIST(Y7,DFR,0,0)</f>
        <v>#NAME?</v>
      </c>
      <c r="AA7" s="1209">
        <f t="shared" si="3"/>
        <v>-2.9278506008610128</v>
      </c>
      <c r="AB7" s="1210">
        <v>4.645628993131694E-8</v>
      </c>
      <c r="AC7" s="1142"/>
      <c r="AD7" s="1142"/>
      <c r="AE7" s="1142"/>
      <c r="AF7" s="1142"/>
      <c r="AG7" s="1142"/>
    </row>
    <row r="8" spans="1:33" ht="15" customHeight="1" x14ac:dyDescent="0.2">
      <c r="A8" s="1184">
        <v>0.67896051210934139</v>
      </c>
      <c r="B8" s="1185">
        <v>0.75945253184162398</v>
      </c>
      <c r="C8" s="1186">
        <v>1</v>
      </c>
      <c r="D8" s="1187">
        <v>-0.53721765139962652</v>
      </c>
      <c r="E8" s="1188">
        <v>1.7528234779294138</v>
      </c>
      <c r="F8" s="1188">
        <v>1.0975451523897264</v>
      </c>
      <c r="G8" s="1189">
        <v>0.73787490918291132</v>
      </c>
      <c r="H8" s="1190">
        <v>-0.50193502536184287</v>
      </c>
      <c r="I8" s="1188">
        <v>-0.47837325908993106</v>
      </c>
      <c r="J8" s="1189">
        <v>2.0496514782794391</v>
      </c>
      <c r="K8" s="1211" t="s">
        <v>569</v>
      </c>
      <c r="L8" s="1192" t="e">
        <v>#N/A</v>
      </c>
      <c r="M8" s="1167" t="e">
        <v>#N/A</v>
      </c>
      <c r="N8" s="1167" t="e">
        <v>#N/A</v>
      </c>
      <c r="O8" s="1167" t="e">
        <v>#N/A</v>
      </c>
      <c r="P8" s="1167" t="e">
        <v>#N/A</v>
      </c>
      <c r="Q8" s="1192" t="e">
        <v>#N/A</v>
      </c>
      <c r="R8" s="1167" t="e">
        <v>#N/A</v>
      </c>
      <c r="S8" s="1168" t="e">
        <v>#N/A</v>
      </c>
      <c r="T8" s="1207">
        <f t="shared" si="0"/>
        <v>-3.2799999999999994</v>
      </c>
      <c r="U8" s="1208" t="e">
        <f ca="1">[8]!NT_DIST(T8,DFR,0,0)</f>
        <v>#NAME?</v>
      </c>
      <c r="V8" s="1208">
        <v>9.0588444604711993E-12</v>
      </c>
      <c r="W8" s="1209">
        <f t="shared" si="1"/>
        <v>-3.950946778317022</v>
      </c>
      <c r="X8" s="1208" t="e">
        <f ca="1">[8]!NT_DIST(W8,DFR,0,0)</f>
        <v>#NAME?</v>
      </c>
      <c r="Y8" s="1209">
        <f t="shared" si="2"/>
        <v>3.471499526966686</v>
      </c>
      <c r="Z8" s="1210" t="e">
        <f ca="1">[8]!NT_DIST(Y8,DFR,0,0)</f>
        <v>#NAME?</v>
      </c>
      <c r="AA8" s="1209">
        <f t="shared" si="3"/>
        <v>-2.8005527486496646</v>
      </c>
      <c r="AB8" s="1210">
        <v>7.1063186679108777E-8</v>
      </c>
      <c r="AC8" s="1142"/>
      <c r="AD8" s="1142"/>
      <c r="AE8" s="1142"/>
      <c r="AF8" s="1142"/>
      <c r="AG8" s="1142"/>
    </row>
    <row r="9" spans="1:33" ht="15" customHeight="1" x14ac:dyDescent="0.2">
      <c r="A9" s="1184">
        <v>0.33483514422724081</v>
      </c>
      <c r="B9" s="1185">
        <v>0.40037599209652347</v>
      </c>
      <c r="C9" s="1186">
        <v>1</v>
      </c>
      <c r="D9" s="1187">
        <v>0.20518323791214954</v>
      </c>
      <c r="E9" s="1188">
        <v>1.7528234779294138</v>
      </c>
      <c r="F9" s="1188">
        <v>1.052683821185781</v>
      </c>
      <c r="G9" s="1189">
        <v>0.73787490918291132</v>
      </c>
      <c r="H9" s="1190">
        <v>-0.67780458366472984</v>
      </c>
      <c r="I9" s="1188">
        <v>5.4125752557474476E-2</v>
      </c>
      <c r="J9" s="1189">
        <v>1.9755085023268317</v>
      </c>
      <c r="K9" s="1201" t="s">
        <v>570</v>
      </c>
      <c r="L9" s="1193" t="e">
        <v>#N/A</v>
      </c>
      <c r="M9" s="1177" t="e">
        <v>#N/A</v>
      </c>
      <c r="N9" s="1177" t="e">
        <v>#N/A</v>
      </c>
      <c r="O9" s="1177" t="e">
        <v>#N/A</v>
      </c>
      <c r="P9" s="1177" t="e">
        <v>#N/A</v>
      </c>
      <c r="Q9" s="1193" t="e">
        <v>#N/A</v>
      </c>
      <c r="R9" s="1177" t="e">
        <v>#N/A</v>
      </c>
      <c r="S9" s="1194" t="e">
        <v>#N/A</v>
      </c>
      <c r="T9" s="1207">
        <f t="shared" si="0"/>
        <v>-3.0399999999999991</v>
      </c>
      <c r="U9" s="1208" t="e">
        <f ca="1">[8]!NT_DIST(T9,DFR,0,0)</f>
        <v>#NAME?</v>
      </c>
      <c r="V9" s="1208">
        <v>4.0169512453178574E-11</v>
      </c>
      <c r="W9" s="1209">
        <f t="shared" si="1"/>
        <v>-3.934595704422696</v>
      </c>
      <c r="X9" s="1208" t="e">
        <f ca="1">[8]!NT_DIST(W9,DFR,0,0)</f>
        <v>#NAME?</v>
      </c>
      <c r="Y9" s="1209">
        <f t="shared" si="2"/>
        <v>3.5678506008610116</v>
      </c>
      <c r="Z9" s="1210" t="e">
        <f ca="1">[8]!NT_DIST(Y9,DFR,0,0)</f>
        <v>#NAME?</v>
      </c>
      <c r="AA9" s="1209">
        <f t="shared" si="3"/>
        <v>-2.6732548964383165</v>
      </c>
      <c r="AB9" s="1210">
        <v>1.0821210332318473E-7</v>
      </c>
      <c r="AC9" s="1142"/>
      <c r="AD9" s="1142"/>
      <c r="AE9" s="1142"/>
      <c r="AF9" s="1142"/>
      <c r="AG9" s="1142"/>
    </row>
    <row r="10" spans="1:33" ht="15" customHeight="1" x14ac:dyDescent="0.2">
      <c r="A10" s="1184">
        <v>0.1873528437063405</v>
      </c>
      <c r="B10" s="1185">
        <v>0.31512366988773111</v>
      </c>
      <c r="C10" s="1186">
        <v>1</v>
      </c>
      <c r="D10" s="1187">
        <v>0.42790350470568289</v>
      </c>
      <c r="E10" s="1188">
        <v>1.7528234779294138</v>
      </c>
      <c r="F10" s="1188">
        <v>0.97111776445133469</v>
      </c>
      <c r="G10" s="1189">
        <v>0.73787490918291132</v>
      </c>
      <c r="H10" s="1190">
        <v>-0.57720595779746453</v>
      </c>
      <c r="I10" s="1188">
        <v>0.21387545605169647</v>
      </c>
      <c r="J10" s="1189">
        <v>1.8407030915039089</v>
      </c>
      <c r="K10" s="1212" t="s">
        <v>571</v>
      </c>
      <c r="L10" s="1195" t="e">
        <v>#N/A</v>
      </c>
      <c r="M10" s="1196" t="e">
        <v>#N/A</v>
      </c>
      <c r="N10" s="1196" t="e">
        <v>#N/A</v>
      </c>
      <c r="O10" s="1196" t="e">
        <v>#N/A</v>
      </c>
      <c r="P10" s="1196" t="e">
        <v>#N/A</v>
      </c>
      <c r="Q10" s="1195" t="e">
        <v>#N/A</v>
      </c>
      <c r="R10" s="1196" t="e">
        <v>#N/A</v>
      </c>
      <c r="S10" s="1197" t="e">
        <v>#N/A</v>
      </c>
      <c r="T10" s="1207">
        <f t="shared" si="0"/>
        <v>-2.7999999999999989</v>
      </c>
      <c r="U10" s="1208" t="e">
        <f ca="1">[8]!NT_DIST(T10,DFR,0,0)</f>
        <v>#NAME?</v>
      </c>
      <c r="V10" s="1208">
        <v>1.7286977405106548E-10</v>
      </c>
      <c r="W10" s="1209">
        <f t="shared" si="1"/>
        <v>-3.91824463052837</v>
      </c>
      <c r="X10" s="1208" t="e">
        <f ca="1">[8]!NT_DIST(W10,DFR,0,0)</f>
        <v>#NAME?</v>
      </c>
      <c r="Y10" s="1209">
        <f t="shared" si="2"/>
        <v>3.6642016747553372</v>
      </c>
      <c r="Z10" s="1210" t="e">
        <f ca="1">[8]!NT_DIST(Y10,DFR,0,0)</f>
        <v>#NAME?</v>
      </c>
      <c r="AA10" s="1209">
        <f t="shared" si="3"/>
        <v>-2.5459570442269683</v>
      </c>
      <c r="AB10" s="1210">
        <v>1.6402325168737462E-7</v>
      </c>
      <c r="AC10" s="1142"/>
      <c r="AD10" s="1142"/>
      <c r="AE10" s="1142"/>
      <c r="AF10" s="1142"/>
      <c r="AG10" s="1142"/>
    </row>
    <row r="11" spans="1:33" ht="15" customHeight="1" x14ac:dyDescent="0.2">
      <c r="A11" s="1184">
        <v>-9.2902236548598437E-3</v>
      </c>
      <c r="B11" s="1185">
        <v>0.10307309180555038</v>
      </c>
      <c r="C11" s="1186">
        <v>1</v>
      </c>
      <c r="D11" s="1187">
        <v>0.72486386043039297</v>
      </c>
      <c r="E11" s="1188">
        <v>1.7528234779294138</v>
      </c>
      <c r="F11" s="1188">
        <v>0.99150927863494631</v>
      </c>
      <c r="G11" s="1189">
        <v>0.73787490918291132</v>
      </c>
      <c r="H11" s="1190">
        <v>-0.33297020499937596</v>
      </c>
      <c r="I11" s="1188">
        <v>0.42687506071065845</v>
      </c>
      <c r="J11" s="1189">
        <v>1.8744044442096395</v>
      </c>
      <c r="K11" s="1567" t="s">
        <v>588</v>
      </c>
      <c r="L11" s="1570"/>
      <c r="M11" s="1570"/>
      <c r="N11" s="1570"/>
      <c r="O11" s="1570"/>
      <c r="P11" s="1570"/>
      <c r="Q11" s="1570"/>
      <c r="R11" s="1570"/>
      <c r="S11" s="1571"/>
      <c r="T11" s="1207">
        <f t="shared" si="0"/>
        <v>-2.5599999999999987</v>
      </c>
      <c r="U11" s="1208" t="e">
        <f ca="1">[8]!NT_DIST(T11,DFR,0,0)</f>
        <v>#NAME?</v>
      </c>
      <c r="V11" s="1208">
        <v>7.2042220279622291E-10</v>
      </c>
      <c r="W11" s="1209">
        <f t="shared" si="1"/>
        <v>-3.901893556634044</v>
      </c>
      <c r="X11" s="1208" t="e">
        <f ca="1">[8]!NT_DIST(W11,DFR,0,0)</f>
        <v>#NAME?</v>
      </c>
      <c r="Y11" s="1209">
        <f t="shared" si="2"/>
        <v>3.7605527486496628</v>
      </c>
      <c r="Z11" s="1210" t="e">
        <f ca="1">[8]!NT_DIST(Y11,DFR,0,0)</f>
        <v>#NAME?</v>
      </c>
      <c r="AA11" s="1209">
        <f t="shared" si="3"/>
        <v>-2.4186591920156202</v>
      </c>
      <c r="AB11" s="1210">
        <v>2.4745787244130811E-7</v>
      </c>
      <c r="AC11" s="1142"/>
      <c r="AD11" s="1142"/>
      <c r="AE11" s="1142"/>
      <c r="AF11" s="1142"/>
      <c r="AG11" s="1142"/>
    </row>
    <row r="12" spans="1:33" ht="15" customHeight="1" x14ac:dyDescent="0.2">
      <c r="A12" s="1184">
        <v>-0.10761175733546002</v>
      </c>
      <c r="B12" s="1185">
        <v>-0.34295823374882317</v>
      </c>
      <c r="C12" s="1186">
        <v>1</v>
      </c>
      <c r="D12" s="1187">
        <v>1.3930246608109917</v>
      </c>
      <c r="E12" s="1188">
        <v>1.7528234779294138</v>
      </c>
      <c r="F12" s="1188">
        <v>0.88955170771688841</v>
      </c>
      <c r="G12" s="1189">
        <v>0.73787490918291132</v>
      </c>
      <c r="H12" s="1190">
        <v>0.67663871887071769</v>
      </c>
      <c r="I12" s="1188">
        <v>0.90612417119332367</v>
      </c>
      <c r="J12" s="1189">
        <v>1.705897680680986</v>
      </c>
      <c r="K12" s="1213" t="s">
        <v>564</v>
      </c>
      <c r="L12" s="1214">
        <f t="array" ref="L12:S19">MINVERSE(MMULT(TRANSPOSE(X),X))</f>
        <v>1.8152631048996508</v>
      </c>
      <c r="M12" s="1215">
        <v>1.6410249029173782</v>
      </c>
      <c r="N12" s="1167">
        <v>0.78554079341772087</v>
      </c>
      <c r="O12" s="1167">
        <v>-3.5435544737276814</v>
      </c>
      <c r="P12" s="1167" t="e">
        <v>#N/A</v>
      </c>
      <c r="Q12" s="1192" t="e">
        <v>#N/A</v>
      </c>
      <c r="R12" s="1167" t="e">
        <v>#N/A</v>
      </c>
      <c r="S12" s="1168" t="e">
        <v>#N/A</v>
      </c>
      <c r="T12" s="1207">
        <f t="shared" si="0"/>
        <v>-2.3199999999999985</v>
      </c>
      <c r="U12" s="1208" t="e">
        <f ca="1">[8]!NT_DIST(T12,DFR,0,0)</f>
        <v>#NAME?</v>
      </c>
      <c r="V12" s="1208">
        <v>2.9011881020163216E-9</v>
      </c>
      <c r="W12" s="1209">
        <f t="shared" si="1"/>
        <v>-3.885542482739718</v>
      </c>
      <c r="X12" s="1208" t="e">
        <f ca="1">[8]!NT_DIST(W12,DFR,0,0)</f>
        <v>#NAME?</v>
      </c>
      <c r="Y12" s="1209">
        <f t="shared" si="2"/>
        <v>3.8569038225439884</v>
      </c>
      <c r="Z12" s="1210" t="e">
        <f ca="1">[8]!NT_DIST(Y12,DFR,0,0)</f>
        <v>#NAME?</v>
      </c>
      <c r="AA12" s="1209">
        <f t="shared" si="3"/>
        <v>-2.291361339804272</v>
      </c>
      <c r="AB12" s="1210">
        <v>3.7156218616606998E-7</v>
      </c>
      <c r="AC12" s="1142"/>
      <c r="AD12" s="1142"/>
      <c r="AE12" s="1142"/>
      <c r="AF12" s="1142"/>
      <c r="AG12" s="1142"/>
    </row>
    <row r="13" spans="1:33" ht="15" customHeight="1" x14ac:dyDescent="0.2">
      <c r="A13" s="1184">
        <v>0.58063897842874124</v>
      </c>
      <c r="B13" s="1185">
        <v>0.67350561458261216</v>
      </c>
      <c r="C13" s="1186">
        <v>1</v>
      </c>
      <c r="D13" s="1187">
        <v>-0.75993791819315926</v>
      </c>
      <c r="E13" s="1188">
        <v>1.7528234779294138</v>
      </c>
      <c r="F13" s="1188">
        <v>1.3789480481235663</v>
      </c>
      <c r="G13" s="1189">
        <v>0.73787490918291132</v>
      </c>
      <c r="H13" s="1190">
        <v>-0.29581466451284566</v>
      </c>
      <c r="I13" s="1188">
        <v>-0.63812296258415269</v>
      </c>
      <c r="J13" s="1189">
        <v>2.5147301456185223</v>
      </c>
      <c r="K13" s="1217" t="s">
        <v>565</v>
      </c>
      <c r="L13" s="1216">
        <v>1.6410249029173773</v>
      </c>
      <c r="M13" s="1214">
        <v>4.0621852505936626</v>
      </c>
      <c r="N13" s="1177">
        <v>0.93862091762766531</v>
      </c>
      <c r="O13" s="1177">
        <v>-5.4090216998050007</v>
      </c>
      <c r="P13" s="1177" t="e">
        <v>#N/A</v>
      </c>
      <c r="Q13" s="1193" t="e">
        <v>#N/A</v>
      </c>
      <c r="R13" s="1177" t="e">
        <v>#N/A</v>
      </c>
      <c r="S13" s="1194" t="e">
        <v>#N/A</v>
      </c>
      <c r="T13" s="1207">
        <f t="shared" si="0"/>
        <v>-2.0799999999999983</v>
      </c>
      <c r="U13" s="1208" t="e">
        <f ca="1">[8]!NT_DIST(T13,DFR,0,0)</f>
        <v>#NAME?</v>
      </c>
      <c r="V13" s="1208">
        <v>1.1264885018381384E-8</v>
      </c>
      <c r="W13" s="1209">
        <f t="shared" si="1"/>
        <v>-3.869191408845392</v>
      </c>
      <c r="X13" s="1208" t="e">
        <f ca="1">[8]!NT_DIST(W13,DFR,0,0)</f>
        <v>#NAME?</v>
      </c>
      <c r="Y13" s="1209">
        <f t="shared" si="2"/>
        <v>3.9532548964383141</v>
      </c>
      <c r="Z13" s="1210" t="e">
        <f ca="1">[8]!NT_DIST(Y13,DFR,0,0)</f>
        <v>#NAME?</v>
      </c>
      <c r="AA13" s="1209">
        <f t="shared" si="3"/>
        <v>-2.1640634875929239</v>
      </c>
      <c r="AB13" s="1210">
        <v>5.5521940415927012E-7</v>
      </c>
      <c r="AC13" s="1218"/>
      <c r="AD13" s="1218"/>
    </row>
    <row r="14" spans="1:33" ht="15" customHeight="1" x14ac:dyDescent="0.2">
      <c r="A14" s="1184">
        <v>-0.84502325993996141</v>
      </c>
      <c r="B14" s="1185">
        <v>-1.0106671859362242</v>
      </c>
      <c r="C14" s="1186">
        <v>1</v>
      </c>
      <c r="D14" s="1187">
        <v>1.1703043940174591</v>
      </c>
      <c r="E14" s="1188">
        <v>-0.56601591474793589</v>
      </c>
      <c r="F14" s="1188">
        <v>0.34713743043282053</v>
      </c>
      <c r="G14" s="1189">
        <v>0.73787490918291132</v>
      </c>
      <c r="H14" s="1190">
        <v>0.26932110628719053</v>
      </c>
      <c r="I14" s="1188">
        <v>0.7463744676991021</v>
      </c>
      <c r="J14" s="1189">
        <v>5.0459151314942198E-2</v>
      </c>
      <c r="K14" s="1217" t="s">
        <v>566</v>
      </c>
      <c r="L14" s="1193">
        <v>0.78554079341772109</v>
      </c>
      <c r="M14" s="1177">
        <v>0.93862091762766553</v>
      </c>
      <c r="N14" s="1214">
        <v>0.39992096352017459</v>
      </c>
      <c r="O14" s="1177">
        <v>-1.6965505577209099</v>
      </c>
      <c r="P14" s="1177" t="e">
        <v>#N/A</v>
      </c>
      <c r="Q14" s="1193" t="e">
        <v>#N/A</v>
      </c>
      <c r="R14" s="1177" t="e">
        <v>#N/A</v>
      </c>
      <c r="S14" s="1194" t="e">
        <v>#N/A</v>
      </c>
      <c r="T14" s="1207">
        <f t="shared" si="0"/>
        <v>-1.8399999999999983</v>
      </c>
      <c r="U14" s="1208" t="e">
        <f ca="1">[8]!NT_DIST(T14,DFR,0,0)</f>
        <v>#NAME?</v>
      </c>
      <c r="V14" s="1208">
        <v>4.2082076229485369E-8</v>
      </c>
      <c r="W14" s="1209">
        <f t="shared" si="1"/>
        <v>-3.852840334951066</v>
      </c>
      <c r="X14" s="1208" t="e">
        <f ca="1">[8]!NT_DIST(W14,DFR,0,0)</f>
        <v>#NAME?</v>
      </c>
      <c r="Y14" s="1209">
        <f t="shared" si="2"/>
        <v>4.0496059703326397</v>
      </c>
      <c r="Z14" s="1210" t="e">
        <f ca="1">[8]!NT_DIST(Y14,DFR,0,0)</f>
        <v>#NAME?</v>
      </c>
      <c r="AA14" s="1209">
        <f t="shared" si="3"/>
        <v>-2.0367656353815757</v>
      </c>
      <c r="AB14" s="1210">
        <v>8.2559968359211605E-7</v>
      </c>
    </row>
    <row r="15" spans="1:33" ht="15" customHeight="1" x14ac:dyDescent="0.2">
      <c r="A15" s="1184">
        <v>-0.59921942573846088</v>
      </c>
      <c r="B15" s="1185">
        <v>-0.53596977908904397</v>
      </c>
      <c r="C15" s="1186">
        <v>1</v>
      </c>
      <c r="D15" s="1187">
        <v>0.42790350470568289</v>
      </c>
      <c r="E15" s="1188">
        <v>-0.56601591474793589</v>
      </c>
      <c r="F15" s="1188">
        <v>0.48987802971810157</v>
      </c>
      <c r="G15" s="1189">
        <v>0.73787490918291132</v>
      </c>
      <c r="H15" s="1190">
        <v>-0.57720595779746453</v>
      </c>
      <c r="I15" s="1188">
        <v>0.21387545605169647</v>
      </c>
      <c r="J15" s="1189">
        <v>-2.571994803028917E-2</v>
      </c>
      <c r="K15" s="1217" t="s">
        <v>567</v>
      </c>
      <c r="L15" s="1193">
        <v>-3.5435544737276801</v>
      </c>
      <c r="M15" s="1177">
        <v>-5.4090216998050007</v>
      </c>
      <c r="N15" s="1177">
        <v>-1.6965505577209092</v>
      </c>
      <c r="O15" s="1214">
        <v>9.1368577545416034</v>
      </c>
      <c r="P15" s="1177" t="e">
        <v>#N/A</v>
      </c>
      <c r="Q15" s="1193" t="e">
        <v>#N/A</v>
      </c>
      <c r="R15" s="1177" t="e">
        <v>#N/A</v>
      </c>
      <c r="S15" s="1194" t="e">
        <v>#N/A</v>
      </c>
      <c r="T15" s="1207">
        <f t="shared" si="0"/>
        <v>-1.5999999999999983</v>
      </c>
      <c r="U15" s="1208" t="e">
        <f ca="1">[8]!NT_DIST(T15,DFR,0,0)</f>
        <v>#NAME?</v>
      </c>
      <c r="V15" s="1208">
        <v>1.5092491478796448E-7</v>
      </c>
      <c r="W15" s="1209">
        <f t="shared" si="1"/>
        <v>-3.83648926105674</v>
      </c>
      <c r="X15" s="1208" t="e">
        <f ca="1">[8]!NT_DIST(W15,DFR,0,0)</f>
        <v>#NAME?</v>
      </c>
      <c r="Y15" s="1209">
        <f t="shared" si="2"/>
        <v>4.1459570442269653</v>
      </c>
      <c r="Z15" s="1210" t="e">
        <f ca="1">[8]!NT_DIST(Y15,DFR,0,0)</f>
        <v>#NAME?</v>
      </c>
      <c r="AA15" s="1209">
        <f t="shared" si="3"/>
        <v>-1.9094677831702274</v>
      </c>
      <c r="AB15" s="1210">
        <v>1.2215618078947344E-6</v>
      </c>
    </row>
    <row r="16" spans="1:33" ht="15" customHeight="1" x14ac:dyDescent="0.2">
      <c r="A16" s="1184">
        <v>-5.8450990495159935E-2</v>
      </c>
      <c r="B16" s="1185">
        <v>-1.7178510252220891E-2</v>
      </c>
      <c r="C16" s="1186">
        <v>1</v>
      </c>
      <c r="D16" s="1187">
        <v>-0.6856978292619812</v>
      </c>
      <c r="E16" s="1188">
        <v>-0.56601591474793589</v>
      </c>
      <c r="F16" s="1188">
        <v>0.67340165737060576</v>
      </c>
      <c r="G16" s="1189">
        <v>0.73787490918291132</v>
      </c>
      <c r="H16" s="1190">
        <v>-0.37238604086549293</v>
      </c>
      <c r="I16" s="1188">
        <v>-0.58487306141941175</v>
      </c>
      <c r="J16" s="1189">
        <v>-0.12366450433130094</v>
      </c>
      <c r="K16" s="1217" t="s">
        <v>568</v>
      </c>
      <c r="L16" s="1193" t="e">
        <v>#N/A</v>
      </c>
      <c r="M16" s="1177" t="e">
        <v>#N/A</v>
      </c>
      <c r="N16" s="1177" t="e">
        <v>#N/A</v>
      </c>
      <c r="O16" s="1177" t="e">
        <v>#N/A</v>
      </c>
      <c r="P16" s="1214" t="e">
        <v>#N/A</v>
      </c>
      <c r="Q16" s="1193" t="e">
        <v>#N/A</v>
      </c>
      <c r="R16" s="1177" t="e">
        <v>#N/A</v>
      </c>
      <c r="S16" s="1194" t="e">
        <v>#N/A</v>
      </c>
      <c r="T16" s="1207">
        <f t="shared" si="0"/>
        <v>-1.3599999999999983</v>
      </c>
      <c r="U16" s="1208" t="e">
        <f ca="1">[8]!NT_DIST(T16,DFR,0,0)</f>
        <v>#NAME?</v>
      </c>
      <c r="V16" s="1208">
        <v>5.1857603211580347E-7</v>
      </c>
      <c r="W16" s="1209">
        <f t="shared" si="1"/>
        <v>-3.820138187162414</v>
      </c>
      <c r="X16" s="1208" t="e">
        <f ca="1">[8]!NT_DIST(W16,DFR,0,0)</f>
        <v>#NAME?</v>
      </c>
      <c r="Y16" s="1209">
        <f t="shared" si="2"/>
        <v>4.2423081181212909</v>
      </c>
      <c r="Z16" s="1210" t="e">
        <f ca="1">[8]!NT_DIST(Y16,DFR,0,0)</f>
        <v>#NAME?</v>
      </c>
      <c r="AA16" s="1209">
        <f t="shared" si="3"/>
        <v>-1.782169930958879</v>
      </c>
      <c r="AB16" s="1210">
        <v>1.7983413376163672E-6</v>
      </c>
    </row>
    <row r="17" spans="1:36" ht="15" customHeight="1" x14ac:dyDescent="0.2">
      <c r="A17" s="1184">
        <v>-0.50089789205786073</v>
      </c>
      <c r="B17" s="1185">
        <v>-0.38322718233592251</v>
      </c>
      <c r="C17" s="1186">
        <v>1</v>
      </c>
      <c r="D17" s="1187">
        <v>5.6703060049794862E-2</v>
      </c>
      <c r="E17" s="1188">
        <v>-0.56601591474793589</v>
      </c>
      <c r="F17" s="1188">
        <v>0.67340165737060576</v>
      </c>
      <c r="G17" s="1189">
        <v>0.73787490918291132</v>
      </c>
      <c r="H17" s="1190">
        <v>-0.70554738722800114</v>
      </c>
      <c r="I17" s="1188">
        <v>-5.2374049772006256E-2</v>
      </c>
      <c r="J17" s="1189">
        <v>-0.12366450433130094</v>
      </c>
      <c r="K17" s="1219" t="s">
        <v>569</v>
      </c>
      <c r="L17" s="1192" t="e">
        <v>#N/A</v>
      </c>
      <c r="M17" s="1167" t="e">
        <v>#N/A</v>
      </c>
      <c r="N17" s="1167" t="e">
        <v>#N/A</v>
      </c>
      <c r="O17" s="1167" t="e">
        <v>#N/A</v>
      </c>
      <c r="P17" s="1167" t="e">
        <v>#N/A</v>
      </c>
      <c r="Q17" s="1214" t="e">
        <v>#N/A</v>
      </c>
      <c r="R17" s="1215" t="e">
        <v>#N/A</v>
      </c>
      <c r="S17" s="1168" t="e">
        <v>#N/A</v>
      </c>
      <c r="T17" s="1207">
        <f t="shared" si="0"/>
        <v>-1.1199999999999983</v>
      </c>
      <c r="U17" s="1208" t="e">
        <f ca="1">[8]!NT_DIST(T17,DFR,0,0)</f>
        <v>#NAME?</v>
      </c>
      <c r="V17" s="1208">
        <v>1.7036247697277432E-6</v>
      </c>
      <c r="W17" s="1209">
        <f t="shared" si="1"/>
        <v>-3.803787113268088</v>
      </c>
      <c r="X17" s="1208" t="e">
        <f ca="1">[8]!NT_DIST(W17,DFR,0,0)</f>
        <v>#NAME?</v>
      </c>
      <c r="Y17" s="1209">
        <f t="shared" si="2"/>
        <v>4.3386591920156166</v>
      </c>
      <c r="Z17" s="1210" t="e">
        <f ca="1">[8]!NT_DIST(Y17,DFR,0,0)</f>
        <v>#NAME?</v>
      </c>
      <c r="AA17" s="1209">
        <f t="shared" si="3"/>
        <v>-1.6548720787475306</v>
      </c>
      <c r="AB17" s="1210">
        <v>2.6339632861120884E-6</v>
      </c>
    </row>
    <row r="18" spans="1:36" ht="15" customHeight="1" x14ac:dyDescent="0.2">
      <c r="A18" s="1184">
        <v>-0.84502325993996141</v>
      </c>
      <c r="B18" s="1185">
        <v>-0.75483979975300231</v>
      </c>
      <c r="C18" s="1186">
        <v>1</v>
      </c>
      <c r="D18" s="1187">
        <v>0.65062377149921558</v>
      </c>
      <c r="E18" s="1188">
        <v>-0.56601591474793589</v>
      </c>
      <c r="F18" s="1188">
        <v>0.67340165737060576</v>
      </c>
      <c r="G18" s="1189">
        <v>0.73787490918291132</v>
      </c>
      <c r="H18" s="1190">
        <v>-0.40582602730336959</v>
      </c>
      <c r="I18" s="1188">
        <v>0.37362515954591802</v>
      </c>
      <c r="J18" s="1189">
        <v>-0.12366450433130094</v>
      </c>
      <c r="K18" s="1217" t="s">
        <v>570</v>
      </c>
      <c r="L18" s="1193" t="e">
        <v>#N/A</v>
      </c>
      <c r="M18" s="1177" t="e">
        <v>#N/A</v>
      </c>
      <c r="N18" s="1177" t="e">
        <v>#N/A</v>
      </c>
      <c r="O18" s="1177" t="e">
        <v>#N/A</v>
      </c>
      <c r="P18" s="1177" t="e">
        <v>#N/A</v>
      </c>
      <c r="Q18" s="1216" t="e">
        <v>#N/A</v>
      </c>
      <c r="R18" s="1214" t="e">
        <v>#N/A</v>
      </c>
      <c r="S18" s="1194" t="e">
        <v>#N/A</v>
      </c>
      <c r="T18" s="1207">
        <f t="shared" si="0"/>
        <v>-0.87999999999999834</v>
      </c>
      <c r="U18" s="1208" t="e">
        <f ca="1">[8]!NT_DIST(T18,DFR,0,0)</f>
        <v>#NAME?</v>
      </c>
      <c r="V18" s="1208">
        <v>5.3407401290592031E-6</v>
      </c>
      <c r="W18" s="1209">
        <f t="shared" si="1"/>
        <v>-3.7874360393737621</v>
      </c>
      <c r="X18" s="1208" t="e">
        <f ca="1">[8]!NT_DIST(W18,DFR,0,0)</f>
        <v>#NAME?</v>
      </c>
      <c r="Y18" s="1209">
        <f t="shared" si="2"/>
        <v>4.4350102659099422</v>
      </c>
      <c r="Z18" s="1210" t="e">
        <f ca="1">[8]!NT_DIST(Y18,DFR,0,0)</f>
        <v>#NAME?</v>
      </c>
      <c r="AA18" s="1209">
        <f t="shared" si="3"/>
        <v>-1.5275742265361822</v>
      </c>
      <c r="AB18" s="1210">
        <v>3.8379459691520682E-6</v>
      </c>
    </row>
    <row r="19" spans="1:36" ht="15" customHeight="1" x14ac:dyDescent="0.2">
      <c r="A19" s="1184">
        <v>-1.0416663273011617</v>
      </c>
      <c r="B19" s="1185">
        <v>-1.1964734658368537</v>
      </c>
      <c r="C19" s="1186">
        <v>1</v>
      </c>
      <c r="D19" s="1187">
        <v>1.2445444829486363</v>
      </c>
      <c r="E19" s="1188">
        <v>-0.56601591474793589</v>
      </c>
      <c r="F19" s="1188">
        <v>0.67340165737060576</v>
      </c>
      <c r="G19" s="1189">
        <v>0.73787490918291132</v>
      </c>
      <c r="H19" s="1190">
        <v>0.39722905441205109</v>
      </c>
      <c r="I19" s="1188">
        <v>0.79962436886384236</v>
      </c>
      <c r="J19" s="1189">
        <v>-0.12366450433130094</v>
      </c>
      <c r="K19" s="1220" t="s">
        <v>571</v>
      </c>
      <c r="L19" s="1195" t="e">
        <v>#N/A</v>
      </c>
      <c r="M19" s="1196" t="e">
        <v>#N/A</v>
      </c>
      <c r="N19" s="1196" t="e">
        <v>#N/A</v>
      </c>
      <c r="O19" s="1196" t="e">
        <v>#N/A</v>
      </c>
      <c r="P19" s="1196" t="e">
        <v>#N/A</v>
      </c>
      <c r="Q19" s="1195" t="e">
        <v>#N/A</v>
      </c>
      <c r="R19" s="1196" t="e">
        <v>#N/A</v>
      </c>
      <c r="S19" s="1214" t="e">
        <v>#N/A</v>
      </c>
      <c r="T19" s="1207">
        <f t="shared" si="0"/>
        <v>-0.63999999999999835</v>
      </c>
      <c r="U19" s="1208" t="e">
        <f ca="1">[8]!NT_DIST(T19,DFR,0,0)</f>
        <v>#NAME?</v>
      </c>
      <c r="V19" s="1208">
        <v>1.5947430118470925E-5</v>
      </c>
      <c r="W19" s="1209">
        <f t="shared" si="1"/>
        <v>-3.7710849654794361</v>
      </c>
      <c r="X19" s="1208" t="e">
        <f ca="1">[8]!NT_DIST(W19,DFR,0,0)</f>
        <v>#NAME?</v>
      </c>
      <c r="Y19" s="1209">
        <f t="shared" si="2"/>
        <v>4.5313613398042678</v>
      </c>
      <c r="Z19" s="1210" t="e">
        <f ca="1">[8]!NT_DIST(Y19,DFR,0,0)</f>
        <v>#NAME?</v>
      </c>
      <c r="AA19" s="1209">
        <f t="shared" si="3"/>
        <v>-1.4002763743248339</v>
      </c>
      <c r="AB19" s="1210">
        <v>5.5630206807037865E-6</v>
      </c>
      <c r="AC19" s="1572" t="s">
        <v>589</v>
      </c>
      <c r="AD19" s="1573"/>
      <c r="AE19" s="1574"/>
      <c r="AH19" s="1169"/>
      <c r="AI19" s="1169"/>
    </row>
    <row r="20" spans="1:36" ht="15" customHeight="1" x14ac:dyDescent="0.2">
      <c r="A20" s="1184">
        <v>-0.84502325993996141</v>
      </c>
      <c r="B20" s="1185">
        <v>-0.60940531823332456</v>
      </c>
      <c r="C20" s="1186">
        <v>1</v>
      </c>
      <c r="D20" s="1187">
        <v>0.35366341577450489</v>
      </c>
      <c r="E20" s="1188">
        <v>-0.56601591474793589</v>
      </c>
      <c r="F20" s="1188">
        <v>0.79982904530899745</v>
      </c>
      <c r="G20" s="1189">
        <v>0.73787490918291132</v>
      </c>
      <c r="H20" s="1190">
        <v>-0.61860342248953415</v>
      </c>
      <c r="I20" s="1188">
        <v>0.16062555488695565</v>
      </c>
      <c r="J20" s="1189">
        <v>-0.19113742089422009</v>
      </c>
      <c r="K20" s="1219" t="s">
        <v>324</v>
      </c>
      <c r="L20" s="1221">
        <f>COUNTA(L2:S2)</f>
        <v>8</v>
      </c>
      <c r="N20" s="1557" t="s">
        <v>27</v>
      </c>
      <c r="O20" s="1558"/>
      <c r="P20" s="1558"/>
      <c r="Q20" s="1558"/>
      <c r="R20" s="1558"/>
      <c r="S20" s="1559"/>
      <c r="T20" s="1207">
        <f t="shared" si="0"/>
        <v>-0.39999999999999836</v>
      </c>
      <c r="U20" s="1208" t="e">
        <f ca="1">[8]!NT_DIST(T20,DFR,0,0)</f>
        <v>#NAME?</v>
      </c>
      <c r="V20" s="1208">
        <v>4.527757088146363E-5</v>
      </c>
      <c r="W20" s="1209">
        <f t="shared" si="1"/>
        <v>-3.7547338915851101</v>
      </c>
      <c r="X20" s="1208" t="e">
        <f ca="1">[8]!NT_DIST(W20,DFR,0,0)</f>
        <v>#NAME?</v>
      </c>
      <c r="Y20" s="1209">
        <f t="shared" si="2"/>
        <v>4.6277124136985934</v>
      </c>
      <c r="Z20" s="1210" t="e">
        <f ca="1">[8]!NT_DIST(Y20,DFR,0,0)</f>
        <v>#NAME?</v>
      </c>
      <c r="AA20" s="1209">
        <f t="shared" si="3"/>
        <v>-1.2729785221134855</v>
      </c>
      <c r="AB20" s="1210">
        <v>8.0207841800794357E-6</v>
      </c>
      <c r="AC20" s="1223">
        <v>0</v>
      </c>
      <c r="AD20" s="1139" t="s">
        <v>590</v>
      </c>
      <c r="AE20" s="1139" t="s">
        <v>591</v>
      </c>
      <c r="AH20" s="1169"/>
      <c r="AI20" s="1169"/>
      <c r="AJ20" s="1224"/>
    </row>
    <row r="21" spans="1:36" ht="15" customHeight="1" x14ac:dyDescent="0.2">
      <c r="A21" s="1184">
        <v>-0.45173712521756065</v>
      </c>
      <c r="B21" s="1185">
        <v>-0.2147470489038581</v>
      </c>
      <c r="C21" s="1186">
        <v>1</v>
      </c>
      <c r="D21" s="1187">
        <v>-0.53721765139962652</v>
      </c>
      <c r="E21" s="1188">
        <v>-0.56601591474793589</v>
      </c>
      <c r="F21" s="1188">
        <v>1.0159790956552801</v>
      </c>
      <c r="G21" s="1189">
        <v>0.73787490918291132</v>
      </c>
      <c r="H21" s="1190">
        <v>-0.50193502536184287</v>
      </c>
      <c r="I21" s="1188">
        <v>-0.47837325908993106</v>
      </c>
      <c r="J21" s="1189">
        <v>-0.30649434275985615</v>
      </c>
      <c r="K21" s="1222" t="s">
        <v>47</v>
      </c>
      <c r="L21" s="1225" t="s">
        <v>592</v>
      </c>
      <c r="N21" s="1192"/>
      <c r="O21" s="1201" t="s">
        <v>30</v>
      </c>
      <c r="P21" s="1201" t="s">
        <v>31</v>
      </c>
      <c r="Q21" s="1226" t="s">
        <v>32</v>
      </c>
      <c r="R21" s="1201" t="s">
        <v>3</v>
      </c>
      <c r="S21" s="1227" t="s">
        <v>33</v>
      </c>
      <c r="T21" s="1207">
        <f t="shared" si="0"/>
        <v>-0.15999999999999837</v>
      </c>
      <c r="U21" s="1208" t="e">
        <f ca="1">[8]!NT_DIST(T21,DFR,0,0)</f>
        <v>#NAME?</v>
      </c>
      <c r="V21" s="1208">
        <v>1.220313075096803E-4</v>
      </c>
      <c r="W21" s="1209">
        <f t="shared" si="1"/>
        <v>-3.7383828176907841</v>
      </c>
      <c r="X21" s="1208" t="e">
        <f ca="1">[8]!NT_DIST(W21,DFR,0,0)</f>
        <v>#NAME?</v>
      </c>
      <c r="Y21" s="1209">
        <f t="shared" si="2"/>
        <v>4.7240634875929191</v>
      </c>
      <c r="Z21" s="1210" t="e">
        <f ca="1">[8]!NT_DIST(Y21,DFR,0,0)</f>
        <v>#NAME?</v>
      </c>
      <c r="AA21" s="1209">
        <f t="shared" si="3"/>
        <v>-1.1456806699021371</v>
      </c>
      <c r="AB21" s="1210">
        <v>1.1502428047490302E-5</v>
      </c>
      <c r="AC21" s="1228" t="s">
        <v>22</v>
      </c>
      <c r="AD21" s="1156">
        <f>-AD22</f>
        <v>-3.1824463052837091</v>
      </c>
      <c r="AE21" s="1156"/>
      <c r="AH21" s="1169"/>
      <c r="AI21" s="1169"/>
    </row>
    <row r="22" spans="1:36" ht="15" customHeight="1" x14ac:dyDescent="0.2">
      <c r="A22" s="1184">
        <v>-0.15677252417576013</v>
      </c>
      <c r="B22" s="1185">
        <v>-1.8039047594148067E-2</v>
      </c>
      <c r="C22" s="1186">
        <v>1</v>
      </c>
      <c r="D22" s="1187">
        <v>-1.1311383628490472</v>
      </c>
      <c r="E22" s="1188">
        <v>-0.56601591474793589</v>
      </c>
      <c r="F22" s="1188">
        <v>1.1057017580631712</v>
      </c>
      <c r="G22" s="1189">
        <v>0.73787490918291132</v>
      </c>
      <c r="H22" s="1190">
        <v>0.20501105829510471</v>
      </c>
      <c r="I22" s="1188">
        <v>-0.90437246840785535</v>
      </c>
      <c r="J22" s="1189">
        <v>-0.35437834806257307</v>
      </c>
      <c r="K22" s="1213" t="s">
        <v>564</v>
      </c>
      <c r="L22" s="1229" t="e">
        <f t="array" ref="L22:L29">MMULT(TRANSPOSE(X),y_adj)</f>
        <v>#VALUE!</v>
      </c>
      <c r="N22" s="1217" t="s">
        <v>5</v>
      </c>
      <c r="O22" s="1233">
        <f>SUMSQ(y_hat_adj)</f>
        <v>115.43210215836135</v>
      </c>
      <c r="P22" s="1215">
        <f>m-1</f>
        <v>7</v>
      </c>
      <c r="Q22" s="1234">
        <f>O22/P22</f>
        <v>16.490300308337336</v>
      </c>
      <c r="R22" s="1215">
        <f>Q22/Q23</f>
        <v>4.6812432960972812</v>
      </c>
      <c r="S22" s="1235">
        <f>FDIST(R22,P22,P23)</f>
        <v>0.11609171384074746</v>
      </c>
      <c r="T22" s="1207">
        <f t="shared" si="0"/>
        <v>8.0000000000001625E-2</v>
      </c>
      <c r="U22" s="1208" t="e">
        <f ca="1">[8]!NT_DIST(T22,DFR,0,0)</f>
        <v>#NAME?</v>
      </c>
      <c r="V22" s="1208">
        <v>3.1174833371753541E-4</v>
      </c>
      <c r="W22" s="1209">
        <f t="shared" si="1"/>
        <v>-3.7220317437964581</v>
      </c>
      <c r="X22" s="1208" t="e">
        <f ca="1">[8]!NT_DIST(W22,DFR,0,0)</f>
        <v>#NAME?</v>
      </c>
      <c r="Y22" s="1209">
        <f t="shared" si="2"/>
        <v>4.8204145614872447</v>
      </c>
      <c r="Z22" s="1210" t="e">
        <f ca="1">[8]!NT_DIST(Y22,DFR,0,0)</f>
        <v>#NAME?</v>
      </c>
      <c r="AA22" s="1209">
        <f t="shared" si="3"/>
        <v>-1.0183828176907888</v>
      </c>
      <c r="AB22" s="1210">
        <v>1.6405955229530454E-5</v>
      </c>
      <c r="AC22" s="1236" t="s">
        <v>23</v>
      </c>
      <c r="AD22" s="1156">
        <f>_xlfn.T.INV.2T(0.05,DFR)</f>
        <v>3.1824463052837091</v>
      </c>
      <c r="AE22" s="1156"/>
      <c r="AH22" s="1169"/>
      <c r="AI22" s="1169"/>
    </row>
    <row r="23" spans="1:36" ht="15" customHeight="1" x14ac:dyDescent="0.2">
      <c r="A23" s="1184">
        <v>0.1873528437063405</v>
      </c>
      <c r="B23" s="1185">
        <v>9.069883727639394E-2</v>
      </c>
      <c r="C23" s="1186">
        <v>1</v>
      </c>
      <c r="D23" s="1187">
        <v>-1.6508189853672903</v>
      </c>
      <c r="E23" s="1188">
        <v>-0.56601591474793589</v>
      </c>
      <c r="F23" s="1188">
        <v>1.1995027233077844</v>
      </c>
      <c r="G23" s="1189">
        <v>0.73787490918291132</v>
      </c>
      <c r="H23" s="1190">
        <v>1.2364798251514404</v>
      </c>
      <c r="I23" s="1188">
        <v>-1.2771217765610392</v>
      </c>
      <c r="J23" s="1189">
        <v>-0.40443889906086794</v>
      </c>
      <c r="K23" s="1217" t="s">
        <v>565</v>
      </c>
      <c r="L23" s="1230" t="e">
        <v>#VALUE!</v>
      </c>
      <c r="N23" s="1217" t="s">
        <v>6</v>
      </c>
      <c r="O23" s="1237">
        <f>SUMSQ(y_adj)-SUMSQ(y_hat_adj)</f>
        <v>10.567897841638683</v>
      </c>
      <c r="P23" s="1177">
        <f>n-m</f>
        <v>3</v>
      </c>
      <c r="Q23" s="1195">
        <f>O23/P23</f>
        <v>3.5226326138795607</v>
      </c>
      <c r="R23" s="1222" t="s">
        <v>262</v>
      </c>
      <c r="S23" s="1235">
        <f>SQRT(Q23)</f>
        <v>1.8768677667538438</v>
      </c>
      <c r="T23" s="1207">
        <f t="shared" si="0"/>
        <v>0.32000000000000162</v>
      </c>
      <c r="U23" s="1208" t="e">
        <f ca="1">[8]!NT_DIST(T23,DFR,0,0)</f>
        <v>#NAME?</v>
      </c>
      <c r="V23" s="1208">
        <v>7.5386212905800148E-4</v>
      </c>
      <c r="W23" s="1209">
        <f t="shared" si="1"/>
        <v>-3.7056806699021321</v>
      </c>
      <c r="X23" s="1208" t="e">
        <f ca="1">[8]!NT_DIST(W23,DFR,0,0)</f>
        <v>#NAME?</v>
      </c>
      <c r="Y23" s="1209">
        <f t="shared" si="2"/>
        <v>4.9167656353815703</v>
      </c>
      <c r="Z23" s="1210" t="e">
        <f ca="1">[8]!NT_DIST(Y23,DFR,0,0)</f>
        <v>#NAME?</v>
      </c>
      <c r="AA23" s="1209">
        <f t="shared" si="3"/>
        <v>-0.89108496547944038</v>
      </c>
      <c r="AB23" s="1210">
        <v>2.3271596469755963E-5</v>
      </c>
      <c r="AC23" s="1238" t="s">
        <v>593</v>
      </c>
      <c r="AD23" s="1239" t="e">
        <f ca="1">[8]!NT_DIST(AD21,DFR,0,0)</f>
        <v>#NAME?</v>
      </c>
      <c r="AE23" s="1240">
        <v>6.9651268386094728E-2</v>
      </c>
      <c r="AH23" s="1169"/>
      <c r="AI23" s="1169"/>
    </row>
    <row r="24" spans="1:36" ht="15" customHeight="1" x14ac:dyDescent="0.2">
      <c r="A24" s="1184">
        <v>0.87560357947054179</v>
      </c>
      <c r="B24" s="1185">
        <v>0.14678828848755779</v>
      </c>
      <c r="C24" s="1186">
        <v>1</v>
      </c>
      <c r="D24" s="1187">
        <v>-2.6159401414725996</v>
      </c>
      <c r="E24" s="1188">
        <v>-0.56601591474793589</v>
      </c>
      <c r="F24" s="1188">
        <v>1.3830263509602885</v>
      </c>
      <c r="G24" s="1189">
        <v>0.73787490918291132</v>
      </c>
      <c r="H24" s="1190">
        <v>4.1744613002721787</v>
      </c>
      <c r="I24" s="1188">
        <v>-1.9693704917026664</v>
      </c>
      <c r="J24" s="1189">
        <v>-0.50238345536187967</v>
      </c>
      <c r="K24" s="1217" t="s">
        <v>566</v>
      </c>
      <c r="L24" s="1230" t="e">
        <v>#VALUE!</v>
      </c>
      <c r="N24" s="1219" t="s">
        <v>7</v>
      </c>
      <c r="O24" s="1241">
        <f>SUMSQ(y_adj)</f>
        <v>126.00000000000003</v>
      </c>
      <c r="P24" s="1167">
        <f>n-1</f>
        <v>10</v>
      </c>
      <c r="Q24" s="1195"/>
      <c r="R24" s="1220" t="s">
        <v>594</v>
      </c>
      <c r="S24" s="1197">
        <f>O22/O24</f>
        <v>0.91612779490762952</v>
      </c>
      <c r="T24" s="1207">
        <f t="shared" si="0"/>
        <v>0.56000000000000161</v>
      </c>
      <c r="U24" s="1208" t="e">
        <f ca="1">[8]!NT_DIST(T24,DFR,0,0)</f>
        <v>#NAME?</v>
      </c>
      <c r="V24" s="1208">
        <v>1.7234957999190342E-3</v>
      </c>
      <c r="W24" s="1209">
        <f t="shared" si="1"/>
        <v>-3.6893295960078061</v>
      </c>
      <c r="X24" s="1208" t="e">
        <f ca="1">[8]!NT_DIST(W24,DFR,0,0)</f>
        <v>#NAME?</v>
      </c>
      <c r="Y24" s="1209">
        <f t="shared" si="2"/>
        <v>5.0131167092758959</v>
      </c>
      <c r="Z24" s="1210" t="e">
        <f ca="1">[8]!NT_DIST(Y24,DFR,0,0)</f>
        <v>#NAME?</v>
      </c>
      <c r="AA24" s="1209">
        <f t="shared" si="3"/>
        <v>-0.76378711326809201</v>
      </c>
      <c r="AB24" s="1210">
        <v>3.2827473152573554E-5</v>
      </c>
      <c r="AC24" s="1560" t="s">
        <v>595</v>
      </c>
      <c r="AD24" s="1561"/>
      <c r="AE24" s="1161">
        <v>3.0670186687084745E-2</v>
      </c>
      <c r="AH24" s="1169"/>
      <c r="AI24" s="1169"/>
    </row>
    <row r="25" spans="1:36" ht="15" customHeight="1" x14ac:dyDescent="0.2">
      <c r="A25" s="1184">
        <v>8.9031310025740343E-2</v>
      </c>
      <c r="B25" s="1185">
        <v>1.9389139784477684E-2</v>
      </c>
      <c r="C25" s="1186">
        <v>1</v>
      </c>
      <c r="D25" s="1187">
        <v>-1.6508189853672903</v>
      </c>
      <c r="E25" s="1188">
        <v>-0.56601591474793589</v>
      </c>
      <c r="F25" s="1188">
        <v>1.3830263509602885</v>
      </c>
      <c r="G25" s="1189">
        <v>0.73787490918291132</v>
      </c>
      <c r="H25" s="1190">
        <v>1.2364798251514404</v>
      </c>
      <c r="I25" s="1188">
        <v>-1.2771217765610392</v>
      </c>
      <c r="J25" s="1189">
        <v>-0.50238345536187967</v>
      </c>
      <c r="K25" s="1217" t="s">
        <v>567</v>
      </c>
      <c r="L25" s="1230" t="e">
        <v>#VALUE!</v>
      </c>
      <c r="T25" s="1207">
        <f t="shared" si="0"/>
        <v>0.8000000000000016</v>
      </c>
      <c r="U25" s="1208" t="e">
        <f ca="1">[8]!NT_DIST(T25,DFR,0,0)</f>
        <v>#NAME?</v>
      </c>
      <c r="V25" s="1208">
        <v>3.7213775395985521E-3</v>
      </c>
      <c r="W25" s="1209">
        <f t="shared" si="1"/>
        <v>-3.6729785221134801</v>
      </c>
      <c r="X25" s="1208" t="e">
        <f ca="1">[8]!NT_DIST(W25,DFR,0,0)</f>
        <v>#NAME?</v>
      </c>
      <c r="Y25" s="1209">
        <f t="shared" si="2"/>
        <v>5.1094677831702215</v>
      </c>
      <c r="Z25" s="1210" t="e">
        <f ca="1">[8]!NT_DIST(Y25,DFR,0,0)</f>
        <v>#NAME?</v>
      </c>
      <c r="AA25" s="1209">
        <f t="shared" si="3"/>
        <v>-0.63648926105674364</v>
      </c>
      <c r="AB25" s="1210">
        <v>4.6047912709531673E-5</v>
      </c>
    </row>
    <row r="26" spans="1:36" ht="15" customHeight="1" x14ac:dyDescent="0.2">
      <c r="A26" s="1184">
        <v>-0.15677252417576013</v>
      </c>
      <c r="B26" s="1185">
        <v>-0.1257959238041548</v>
      </c>
      <c r="C26" s="1186">
        <v>1</v>
      </c>
      <c r="D26" s="1187">
        <v>-1.1311383628490472</v>
      </c>
      <c r="E26" s="1188">
        <v>-0.56601591474793589</v>
      </c>
      <c r="F26" s="1188">
        <v>1.3830263509602885</v>
      </c>
      <c r="G26" s="1189">
        <v>0.73787490918291132</v>
      </c>
      <c r="H26" s="1190">
        <v>0.20501105829510471</v>
      </c>
      <c r="I26" s="1188">
        <v>-0.90437246840785535</v>
      </c>
      <c r="J26" s="1189">
        <v>-0.50238345536187967</v>
      </c>
      <c r="K26" s="1217" t="s">
        <v>568</v>
      </c>
      <c r="L26" s="1230" t="e">
        <v>#VALUE!</v>
      </c>
      <c r="T26" s="1207">
        <f t="shared" si="0"/>
        <v>1.0400000000000016</v>
      </c>
      <c r="U26" s="1208" t="e">
        <f ca="1">[8]!NT_DIST(T26,DFR,0,0)</f>
        <v>#NAME?</v>
      </c>
      <c r="V26" s="1208">
        <v>7.5820943631769557E-3</v>
      </c>
      <c r="W26" s="1209">
        <f t="shared" si="1"/>
        <v>-3.6566274482191541</v>
      </c>
      <c r="X26" s="1208" t="e">
        <f ca="1">[8]!NT_DIST(W26,DFR,0,0)</f>
        <v>#NAME?</v>
      </c>
      <c r="Y26" s="1209">
        <f t="shared" si="2"/>
        <v>5.2058188570645472</v>
      </c>
      <c r="Z26" s="1210" t="e">
        <f ca="1">[8]!NT_DIST(Y26,DFR,0,0)</f>
        <v>#NAME?</v>
      </c>
      <c r="AA26" s="1209">
        <f t="shared" si="3"/>
        <v>-0.50919140884539527</v>
      </c>
      <c r="AB26" s="1210">
        <v>6.4227187586343818E-5</v>
      </c>
    </row>
    <row r="27" spans="1:36" ht="15" customHeight="1" x14ac:dyDescent="0.2">
      <c r="A27" s="1184">
        <v>-0.59921942573846088</v>
      </c>
      <c r="B27" s="1185">
        <v>-0.42619986276275751</v>
      </c>
      <c r="C27" s="1186">
        <v>1</v>
      </c>
      <c r="D27" s="1187">
        <v>-0.38873747353727117</v>
      </c>
      <c r="E27" s="1188">
        <v>-0.56601591474793589</v>
      </c>
      <c r="F27" s="1188">
        <v>1.3830263509602885</v>
      </c>
      <c r="G27" s="1189">
        <v>0.73787490918291132</v>
      </c>
      <c r="H27" s="1190">
        <v>-0.60002565224626903</v>
      </c>
      <c r="I27" s="1188">
        <v>-0.37187345676044981</v>
      </c>
      <c r="J27" s="1189">
        <v>-0.50238345536187967</v>
      </c>
      <c r="K27" s="1219" t="s">
        <v>569</v>
      </c>
      <c r="L27" s="1231" t="e">
        <v>#VALUE!</v>
      </c>
      <c r="T27" s="1207">
        <f t="shared" si="0"/>
        <v>1.2800000000000016</v>
      </c>
      <c r="U27" s="1208" t="e">
        <f ca="1">[8]!NT_DIST(T27,DFR,0,0)</f>
        <v>#NAME?</v>
      </c>
      <c r="V27" s="1208">
        <v>1.456658321651385E-2</v>
      </c>
      <c r="W27" s="1209">
        <f t="shared" si="1"/>
        <v>-3.6402763743248281</v>
      </c>
      <c r="X27" s="1208" t="e">
        <f ca="1">[8]!NT_DIST(W27,DFR,0,0)</f>
        <v>#NAME?</v>
      </c>
      <c r="Y27" s="1209">
        <f t="shared" si="2"/>
        <v>5.3021699309588728</v>
      </c>
      <c r="Z27" s="1210" t="e">
        <f ca="1">[8]!NT_DIST(Y27,DFR,0,0)</f>
        <v>#NAME?</v>
      </c>
      <c r="AA27" s="1209">
        <f t="shared" si="3"/>
        <v>-0.38189355663404689</v>
      </c>
      <c r="AB27" s="1210">
        <v>8.9071802412931701E-5</v>
      </c>
    </row>
    <row r="28" spans="1:36" ht="15" customHeight="1" x14ac:dyDescent="0.2">
      <c r="A28" s="1184">
        <v>-0.84502325993996141</v>
      </c>
      <c r="B28" s="1185">
        <v>-0.70158031371616936</v>
      </c>
      <c r="C28" s="1186">
        <v>1</v>
      </c>
      <c r="D28" s="1187">
        <v>0.1309431489809722</v>
      </c>
      <c r="E28" s="1188">
        <v>-0.56601591474793589</v>
      </c>
      <c r="F28" s="1188">
        <v>1.3830263509602885</v>
      </c>
      <c r="G28" s="1189">
        <v>0.73787490918291132</v>
      </c>
      <c r="H28" s="1190">
        <v>-0.69560828014785603</v>
      </c>
      <c r="I28" s="1188">
        <v>8.7585139273410313E-4</v>
      </c>
      <c r="J28" s="1189">
        <v>-0.50238345536187967</v>
      </c>
      <c r="K28" s="1217" t="s">
        <v>570</v>
      </c>
      <c r="L28" s="1230" t="e">
        <v>#VALUE!</v>
      </c>
      <c r="T28" s="1207">
        <f t="shared" si="0"/>
        <v>1.5200000000000016</v>
      </c>
      <c r="U28" s="1208" t="e">
        <f ca="1">[8]!NT_DIST(T28,DFR,0,0)</f>
        <v>#NAME?</v>
      </c>
      <c r="V28" s="1208">
        <v>2.6374016525793065E-2</v>
      </c>
      <c r="W28" s="1209">
        <f t="shared" si="1"/>
        <v>-3.6239253004305021</v>
      </c>
      <c r="X28" s="1208" t="e">
        <f ca="1">[8]!NT_DIST(W28,DFR,0,0)</f>
        <v>#NAME?</v>
      </c>
      <c r="Y28" s="1209">
        <f t="shared" si="2"/>
        <v>5.3985210048531984</v>
      </c>
      <c r="Z28" s="1210" t="e">
        <f ca="1">[8]!NT_DIST(Y28,DFR,0,0)</f>
        <v>#NAME?</v>
      </c>
      <c r="AA28" s="1209">
        <f t="shared" si="3"/>
        <v>-0.25459570442269852</v>
      </c>
      <c r="AB28" s="1210">
        <v>1.228147593634722E-4</v>
      </c>
    </row>
    <row r="29" spans="1:36" ht="15" customHeight="1" x14ac:dyDescent="0.2">
      <c r="A29" s="1184">
        <v>-0.94334479362056156</v>
      </c>
      <c r="B29" s="1185">
        <v>-0.88301030688303617</v>
      </c>
      <c r="C29" s="1186">
        <v>1</v>
      </c>
      <c r="D29" s="1187">
        <v>0.42790350470568289</v>
      </c>
      <c r="E29" s="1188">
        <v>-0.56601591474793589</v>
      </c>
      <c r="F29" s="1188">
        <v>1.3830263509602885</v>
      </c>
      <c r="G29" s="1189">
        <v>0.73787490918291132</v>
      </c>
      <c r="H29" s="1190">
        <v>-0.57720595779746453</v>
      </c>
      <c r="I29" s="1188">
        <v>0.21387545605169647</v>
      </c>
      <c r="J29" s="1189">
        <v>-0.50238345536187967</v>
      </c>
      <c r="K29" s="1220" t="s">
        <v>571</v>
      </c>
      <c r="L29" s="1232" t="e">
        <v>#VALUE!</v>
      </c>
      <c r="T29" s="1207">
        <f t="shared" si="0"/>
        <v>1.7600000000000016</v>
      </c>
      <c r="U29" s="1208" t="e">
        <f ca="1">[8]!NT_DIST(T29,DFR,0,0)</f>
        <v>#NAME?</v>
      </c>
      <c r="V29" s="1208">
        <v>4.4987167477080467E-2</v>
      </c>
      <c r="W29" s="1209">
        <f t="shared" si="1"/>
        <v>-3.6075742265361761</v>
      </c>
      <c r="X29" s="1208" t="e">
        <f ca="1">[8]!NT_DIST(W29,DFR,0,0)</f>
        <v>#NAME?</v>
      </c>
      <c r="Y29" s="1209">
        <f t="shared" si="2"/>
        <v>5.494872078747524</v>
      </c>
      <c r="Z29" s="1210" t="e">
        <f ca="1">[8]!NT_DIST(Y29,DFR,0,0)</f>
        <v>#NAME?</v>
      </c>
      <c r="AA29" s="1209">
        <f t="shared" si="3"/>
        <v>-0.12729785221135015</v>
      </c>
      <c r="AB29" s="1210">
        <v>1.6835545178388881E-4</v>
      </c>
    </row>
    <row r="30" spans="1:36" ht="15" customHeight="1" x14ac:dyDescent="0.2">
      <c r="A30" s="1184">
        <v>-0.35341559153696045</v>
      </c>
      <c r="B30" s="1185">
        <v>-0.63366203087585293</v>
      </c>
      <c r="C30" s="1186">
        <v>1</v>
      </c>
      <c r="D30" s="1187">
        <v>0.79910394936157092</v>
      </c>
      <c r="E30" s="1188">
        <v>-0.56601591474793589</v>
      </c>
      <c r="F30" s="1188">
        <v>9.4282654556037029E-2</v>
      </c>
      <c r="G30" s="1189">
        <v>0.73787490918291132</v>
      </c>
      <c r="H30" s="1190">
        <v>-0.25224979329240071</v>
      </c>
      <c r="I30" s="1188">
        <v>0.48012496187539921</v>
      </c>
      <c r="J30" s="1189">
        <v>0.18540498444078063</v>
      </c>
      <c r="T30" s="1207">
        <f t="shared" si="0"/>
        <v>2.0000000000000018</v>
      </c>
      <c r="U30" s="1208" t="e">
        <f ca="1">[8]!NT_DIST(T30,DFR,0,0)</f>
        <v>#NAME?</v>
      </c>
      <c r="V30" s="1208">
        <v>7.2279527659656853E-2</v>
      </c>
      <c r="W30" s="1209">
        <f t="shared" si="1"/>
        <v>-3.5912231526418501</v>
      </c>
      <c r="X30" s="1208" t="e">
        <f ca="1">[8]!NT_DIST(W30,DFR,0,0)</f>
        <v>#NAME?</v>
      </c>
      <c r="Y30" s="1209">
        <f t="shared" si="2"/>
        <v>5.5912231526418497</v>
      </c>
      <c r="Z30" s="1210" t="e">
        <f ca="1">[8]!NT_DIST(Y30,DFR,0,0)</f>
        <v>#NAME?</v>
      </c>
      <c r="AA30" s="1209">
        <f t="shared" si="3"/>
        <v>-1.7763568394002505E-15</v>
      </c>
      <c r="AB30" s="1210">
        <v>2.2942891480424272E-4</v>
      </c>
    </row>
    <row r="31" spans="1:36" ht="15" customHeight="1" x14ac:dyDescent="0.2">
      <c r="A31" s="1184">
        <v>-0.84502325993996141</v>
      </c>
      <c r="B31" s="1185">
        <v>-1.4831064685018758</v>
      </c>
      <c r="C31" s="1186">
        <v>1</v>
      </c>
      <c r="D31" s="1187">
        <v>1.8384651943980577</v>
      </c>
      <c r="E31" s="1188">
        <v>-0.56601591474793589</v>
      </c>
      <c r="F31" s="1188">
        <v>9.4282654556037029E-2</v>
      </c>
      <c r="G31" s="1189">
        <v>0.73787490918291132</v>
      </c>
      <c r="H31" s="1190">
        <v>1.7036178579182628</v>
      </c>
      <c r="I31" s="1188">
        <v>1.225623578181767</v>
      </c>
      <c r="J31" s="1189">
        <v>0.18540498444078063</v>
      </c>
      <c r="T31" s="1207">
        <f t="shared" si="0"/>
        <v>2.240000000000002</v>
      </c>
      <c r="U31" s="1208" t="e">
        <f ca="1">[8]!NT_DIST(T31,DFR,0,0)</f>
        <v>#NAME?</v>
      </c>
      <c r="V31" s="1208">
        <v>0.10938374720917426</v>
      </c>
      <c r="W31" s="1209">
        <f t="shared" si="1"/>
        <v>-3.5748720787475241</v>
      </c>
      <c r="X31" s="1208" t="e">
        <f ca="1">[8]!NT_DIST(W31,DFR,0,0)</f>
        <v>#NAME?</v>
      </c>
      <c r="Y31" s="1209">
        <f t="shared" si="2"/>
        <v>5.6875742265361753</v>
      </c>
      <c r="Z31" s="1210" t="e">
        <f ca="1">[8]!NT_DIST(Y31,DFR,0,0)</f>
        <v>#NAME?</v>
      </c>
      <c r="AA31" s="1209">
        <f t="shared" si="3"/>
        <v>0.1272978522113466</v>
      </c>
      <c r="AB31" s="1210">
        <v>3.1080804304858741E-4</v>
      </c>
    </row>
    <row r="32" spans="1:36" ht="15" customHeight="1" x14ac:dyDescent="0.2">
      <c r="A32" s="1184">
        <v>-0.10761175733546002</v>
      </c>
      <c r="B32" s="1185">
        <v>-0.28935461014108776</v>
      </c>
      <c r="C32" s="1186">
        <v>1</v>
      </c>
      <c r="D32" s="1187">
        <v>0.27942332684332755</v>
      </c>
      <c r="E32" s="1188">
        <v>-0.56601591474793589</v>
      </c>
      <c r="F32" s="1188">
        <v>9.4282654556037029E-2</v>
      </c>
      <c r="G32" s="1189">
        <v>0.73787490918291132</v>
      </c>
      <c r="H32" s="1190">
        <v>-0.65213629777862248</v>
      </c>
      <c r="I32" s="1188">
        <v>0.1073756537222153</v>
      </c>
      <c r="J32" s="1189">
        <v>0.18540498444078063</v>
      </c>
      <c r="T32" s="1207">
        <f t="shared" si="0"/>
        <v>2.4800000000000022</v>
      </c>
      <c r="U32" s="1208" t="e">
        <f ca="1">[8]!NT_DIST(T32,DFR,0,0)</f>
        <v>#NAME?</v>
      </c>
      <c r="V32" s="1208">
        <v>0.15594532046862028</v>
      </c>
      <c r="W32" s="1209">
        <f t="shared" si="1"/>
        <v>-3.5585210048531981</v>
      </c>
      <c r="X32" s="1208" t="e">
        <f ca="1">[8]!NT_DIST(W32,DFR,0,0)</f>
        <v>#NAME?</v>
      </c>
      <c r="Y32" s="1209">
        <f t="shared" si="2"/>
        <v>5.7839253004305009</v>
      </c>
      <c r="Z32" s="1210" t="e">
        <f ca="1">[8]!NT_DIST(Y32,DFR,0,0)</f>
        <v>#NAME?</v>
      </c>
      <c r="AA32" s="1209">
        <f t="shared" si="3"/>
        <v>0.25459570442269497</v>
      </c>
      <c r="AB32" s="1210">
        <v>4.1854198182192343E-4</v>
      </c>
    </row>
    <row r="33" spans="1:40" ht="15" customHeight="1" x14ac:dyDescent="0.2">
      <c r="A33" s="1184">
        <v>-0.2059332910160602</v>
      </c>
      <c r="B33" s="1185">
        <v>-0.60499424020443415</v>
      </c>
      <c r="C33" s="1186">
        <v>1</v>
      </c>
      <c r="D33" s="1187">
        <v>1.1703043940174591</v>
      </c>
      <c r="E33" s="1188">
        <v>-0.56601591474793589</v>
      </c>
      <c r="F33" s="1188">
        <v>-0.6969080957680921</v>
      </c>
      <c r="G33" s="1189">
        <v>0.73787490918291132</v>
      </c>
      <c r="H33" s="1190">
        <v>0.26932110628719053</v>
      </c>
      <c r="I33" s="1188">
        <v>0.7463744676991021</v>
      </c>
      <c r="J33" s="1189">
        <v>0.60765484938292025</v>
      </c>
      <c r="T33" s="1207">
        <f t="shared" si="0"/>
        <v>2.7200000000000024</v>
      </c>
      <c r="U33" s="1208" t="e">
        <f ca="1">[8]!NT_DIST(T33,DFR,0,0)</f>
        <v>#NAME?</v>
      </c>
      <c r="V33" s="1208">
        <v>0.20951628254719556</v>
      </c>
      <c r="W33" s="1209">
        <f t="shared" si="1"/>
        <v>-3.5421699309588721</v>
      </c>
      <c r="X33" s="1208" t="e">
        <f ca="1">[8]!NT_DIST(W33,DFR,0,0)</f>
        <v>#NAME?</v>
      </c>
      <c r="Y33" s="1209">
        <f t="shared" si="2"/>
        <v>5.8802763743248265</v>
      </c>
      <c r="Z33" s="1210" t="e">
        <f ca="1">[8]!NT_DIST(Y33,DFR,0,0)</f>
        <v>#NAME?</v>
      </c>
      <c r="AA33" s="1209">
        <f t="shared" si="3"/>
        <v>0.38189355663404334</v>
      </c>
      <c r="AB33" s="1210">
        <v>5.602331569404096E-4</v>
      </c>
    </row>
    <row r="34" spans="1:40" ht="15" customHeight="1" x14ac:dyDescent="0.2">
      <c r="A34" s="1184">
        <v>-0.89418402678026143</v>
      </c>
      <c r="B34" s="1185">
        <v>-0.74617288691865413</v>
      </c>
      <c r="C34" s="1186">
        <v>1</v>
      </c>
      <c r="D34" s="1187">
        <v>0.79910394936157092</v>
      </c>
      <c r="E34" s="1188">
        <v>-0.56601591474793589</v>
      </c>
      <c r="F34" s="1188">
        <v>0.38384215596332139</v>
      </c>
      <c r="G34" s="1189">
        <v>0.73787490918291132</v>
      </c>
      <c r="H34" s="1190">
        <v>-0.25224979329240071</v>
      </c>
      <c r="I34" s="1188">
        <v>0.48012496187539921</v>
      </c>
      <c r="J34" s="1189">
        <v>3.0870240054739845E-2</v>
      </c>
      <c r="T34" s="1207">
        <f t="shared" si="0"/>
        <v>2.9600000000000026</v>
      </c>
      <c r="U34" s="1208" t="e">
        <f ca="1">[8]!NT_DIST(T34,DFR,0,0)</f>
        <v>#NAME?</v>
      </c>
      <c r="V34" s="1208">
        <v>0.26540117027650084</v>
      </c>
      <c r="W34" s="1209">
        <f t="shared" si="1"/>
        <v>-3.5258188570645461</v>
      </c>
      <c r="X34" s="1208" t="e">
        <f ca="1">[8]!NT_DIST(W34,DFR,0,0)</f>
        <v>#NAME?</v>
      </c>
      <c r="Y34" s="1209">
        <f t="shared" si="2"/>
        <v>5.9766274482191521</v>
      </c>
      <c r="Z34" s="1210" t="e">
        <f ca="1">[8]!NT_DIST(Y34,DFR,0,0)</f>
        <v>#NAME?</v>
      </c>
      <c r="AA34" s="1209">
        <f t="shared" si="3"/>
        <v>0.50919140884539171</v>
      </c>
      <c r="AB34" s="1210">
        <v>7.4535421691141097E-4</v>
      </c>
    </row>
    <row r="35" spans="1:40" ht="15" customHeight="1" x14ac:dyDescent="0.2">
      <c r="A35" s="1184">
        <v>-0.35341559153696045</v>
      </c>
      <c r="B35" s="1185">
        <v>-0.14941389637111838</v>
      </c>
      <c r="C35" s="1186">
        <v>1</v>
      </c>
      <c r="D35" s="1187">
        <v>-0.16601720674373849</v>
      </c>
      <c r="E35" s="1188">
        <v>-0.56601591474793589</v>
      </c>
      <c r="F35" s="1188">
        <v>0.38384215596332139</v>
      </c>
      <c r="G35" s="1189">
        <v>0.73787490918291132</v>
      </c>
      <c r="H35" s="1190">
        <v>-0.68817717205054985</v>
      </c>
      <c r="I35" s="1188">
        <v>-0.21212375326622829</v>
      </c>
      <c r="J35" s="1189">
        <v>3.0870240054739845E-2</v>
      </c>
      <c r="T35" s="1207">
        <f t="shared" si="0"/>
        <v>3.2000000000000028</v>
      </c>
      <c r="U35" s="1208" t="e">
        <f ca="1">[8]!NT_DIST(T35,DFR,0,0)</f>
        <v>#NAME?</v>
      </c>
      <c r="V35" s="1208">
        <v>0.31718155468974008</v>
      </c>
      <c r="W35" s="1209">
        <f t="shared" si="1"/>
        <v>-3.5094677831702201</v>
      </c>
      <c r="X35" s="1208" t="e">
        <f ca="1">[8]!NT_DIST(W35,DFR,0,0)</f>
        <v>#NAME?</v>
      </c>
      <c r="Y35" s="1209">
        <f t="shared" si="2"/>
        <v>6.0729785221134778</v>
      </c>
      <c r="Z35" s="1210" t="e">
        <f ca="1">[8]!NT_DIST(Y35,DFR,0,0)</f>
        <v>#NAME?</v>
      </c>
      <c r="AA35" s="1209">
        <f t="shared" si="3"/>
        <v>0.63648926105674009</v>
      </c>
      <c r="AB35" s="1210">
        <v>9.8560446653945828E-4</v>
      </c>
      <c r="AN35" s="1169"/>
    </row>
    <row r="36" spans="1:40" ht="15" customHeight="1" x14ac:dyDescent="0.2">
      <c r="A36" s="1184">
        <v>0.28567437738694068</v>
      </c>
      <c r="B36" s="1185">
        <v>0.28646872256678185</v>
      </c>
      <c r="C36" s="1186">
        <v>1</v>
      </c>
      <c r="D36" s="1187">
        <v>-1.2053784517802246</v>
      </c>
      <c r="E36" s="1188">
        <v>-0.56601591474793589</v>
      </c>
      <c r="F36" s="1188">
        <v>0.38384215596332139</v>
      </c>
      <c r="G36" s="1189">
        <v>0.73787490918291132</v>
      </c>
      <c r="H36" s="1190">
        <v>0.32876997106563771</v>
      </c>
      <c r="I36" s="1188">
        <v>-0.95762236957259572</v>
      </c>
      <c r="J36" s="1189">
        <v>3.0870240054739845E-2</v>
      </c>
      <c r="T36" s="1207">
        <f t="shared" si="0"/>
        <v>3.4400000000000031</v>
      </c>
      <c r="U36" s="1208" t="e">
        <f ca="1">[8]!NT_DIST(T36,DFR,0,0)</f>
        <v>#NAME?</v>
      </c>
      <c r="V36" s="1208">
        <v>0.35791213176460829</v>
      </c>
      <c r="W36" s="1209">
        <f t="shared" si="1"/>
        <v>-3.4931167092758941</v>
      </c>
      <c r="X36" s="1208" t="e">
        <f ca="1">[8]!NT_DIST(W36,DFR,0,0)</f>
        <v>#NAME?</v>
      </c>
      <c r="Y36" s="1209">
        <f t="shared" si="2"/>
        <v>6.1693295960078034</v>
      </c>
      <c r="Z36" s="1210" t="e">
        <f ca="1">[8]!NT_DIST(Y36,DFR,0,0)</f>
        <v>#NAME?</v>
      </c>
      <c r="AA36" s="1209">
        <f t="shared" si="3"/>
        <v>0.76378711326808846</v>
      </c>
      <c r="AB36" s="1210">
        <v>1.2953030931873335E-3</v>
      </c>
    </row>
    <row r="37" spans="1:40" ht="15" customHeight="1" x14ac:dyDescent="0.2">
      <c r="A37" s="1184">
        <v>0.28567437738694068</v>
      </c>
      <c r="B37" s="1185">
        <v>0.21101252172191096</v>
      </c>
      <c r="C37" s="1186">
        <v>1</v>
      </c>
      <c r="D37" s="1187">
        <v>-0.6856978292619812</v>
      </c>
      <c r="E37" s="1188">
        <v>-0.56601591474793589</v>
      </c>
      <c r="F37" s="1188">
        <v>8.6126048882592399E-2</v>
      </c>
      <c r="G37" s="1189">
        <v>0.73787490918291132</v>
      </c>
      <c r="H37" s="1190">
        <v>-0.37238604086549293</v>
      </c>
      <c r="I37" s="1188">
        <v>-0.58487306141941175</v>
      </c>
      <c r="J37" s="1189">
        <v>0.18975807583193668</v>
      </c>
      <c r="T37" s="1207">
        <f t="shared" si="0"/>
        <v>3.6800000000000033</v>
      </c>
      <c r="U37" s="1208" t="e">
        <f ca="1">[8]!NT_DIST(T37,DFR,0,0)</f>
        <v>#NAME?</v>
      </c>
      <c r="V37" s="1208">
        <v>0.38168976625536788</v>
      </c>
      <c r="W37" s="1209">
        <f t="shared" si="1"/>
        <v>-3.4767656353815681</v>
      </c>
      <c r="X37" s="1208" t="e">
        <f ca="1">[8]!NT_DIST(W37,DFR,0,0)</f>
        <v>#NAME?</v>
      </c>
      <c r="Y37" s="1209">
        <f t="shared" si="2"/>
        <v>6.265680669902129</v>
      </c>
      <c r="Z37" s="1210" t="e">
        <f ca="1">[8]!NT_DIST(Y37,DFR,0,0)</f>
        <v>#NAME?</v>
      </c>
      <c r="AA37" s="1209">
        <f t="shared" si="3"/>
        <v>0.89108496547943683</v>
      </c>
      <c r="AB37" s="1210">
        <v>1.69181358638471E-3</v>
      </c>
      <c r="AN37" s="1186"/>
    </row>
    <row r="38" spans="1:40" ht="15" customHeight="1" x14ac:dyDescent="0.2">
      <c r="A38" s="1184">
        <v>-0.15677252417576013</v>
      </c>
      <c r="B38" s="1185">
        <v>-0.25924607120005649</v>
      </c>
      <c r="C38" s="1186">
        <v>1</v>
      </c>
      <c r="D38" s="1187">
        <v>0.27942332684332755</v>
      </c>
      <c r="E38" s="1188">
        <v>-0.56601591474793589</v>
      </c>
      <c r="F38" s="1188">
        <v>1.6794900658313044E-2</v>
      </c>
      <c r="G38" s="1189">
        <v>0.73787490918291132</v>
      </c>
      <c r="H38" s="1190">
        <v>-0.65213629777862248</v>
      </c>
      <c r="I38" s="1188">
        <v>0.1073756537222153</v>
      </c>
      <c r="J38" s="1189">
        <v>0.22675935265676334</v>
      </c>
      <c r="T38" s="1207">
        <f t="shared" si="0"/>
        <v>3.9200000000000035</v>
      </c>
      <c r="U38" s="1208" t="e">
        <f ca="1">[8]!NT_DIST(T38,DFR,0,0)</f>
        <v>#NAME?</v>
      </c>
      <c r="V38" s="1208">
        <v>0.38509401802635579</v>
      </c>
      <c r="W38" s="1209">
        <f t="shared" si="1"/>
        <v>-3.4604145614872421</v>
      </c>
      <c r="X38" s="1208" t="e">
        <f ca="1">[8]!NT_DIST(W38,DFR,0,0)</f>
        <v>#NAME?</v>
      </c>
      <c r="Y38" s="1209">
        <f t="shared" si="2"/>
        <v>6.3620317437964546</v>
      </c>
      <c r="Z38" s="1210" t="e">
        <f ca="1">[8]!NT_DIST(Y38,DFR,0,0)</f>
        <v>#NAME?</v>
      </c>
      <c r="AA38" s="1209">
        <f t="shared" si="3"/>
        <v>1.0183828176907852</v>
      </c>
      <c r="AB38" s="1210">
        <v>2.1959902162289658E-3</v>
      </c>
      <c r="AN38" s="1169"/>
    </row>
    <row r="39" spans="1:40" ht="15" customHeight="1" x14ac:dyDescent="0.2">
      <c r="A39" s="1184">
        <v>-1.189148627822062</v>
      </c>
      <c r="B39" s="1185">
        <v>-1.1451649436787159</v>
      </c>
      <c r="C39" s="1186">
        <v>1</v>
      </c>
      <c r="D39" s="1187">
        <v>1.6157449276045244</v>
      </c>
      <c r="E39" s="1188">
        <v>-0.56601591474793589</v>
      </c>
      <c r="F39" s="1188">
        <v>-0.26052969223880434</v>
      </c>
      <c r="G39" s="1189">
        <v>0.73787490918291132</v>
      </c>
      <c r="H39" s="1190">
        <v>1.1547376360810746</v>
      </c>
      <c r="I39" s="1188">
        <v>1.0658738746875451</v>
      </c>
      <c r="J39" s="1189">
        <v>0.37476445995607</v>
      </c>
      <c r="T39" s="1207">
        <f t="shared" si="0"/>
        <v>4.1600000000000037</v>
      </c>
      <c r="U39" s="1208" t="e">
        <f ca="1">[8]!NT_DIST(T39,DFR,0,0)</f>
        <v>#NAME?</v>
      </c>
      <c r="V39" s="1208">
        <v>0.36800303658191302</v>
      </c>
      <c r="W39" s="1209">
        <f t="shared" si="1"/>
        <v>-3.4440634875929161</v>
      </c>
      <c r="X39" s="1208" t="e">
        <f ca="1">[8]!NT_DIST(W39,DFR,0,0)</f>
        <v>#NAME?</v>
      </c>
      <c r="Y39" s="1209">
        <f t="shared" si="2"/>
        <v>6.4583828176907803</v>
      </c>
      <c r="Z39" s="1210" t="e">
        <f ca="1">[8]!NT_DIST(Y39,DFR,0,0)</f>
        <v>#NAME?</v>
      </c>
      <c r="AA39" s="1209">
        <f t="shared" si="3"/>
        <v>1.1456806699021336</v>
      </c>
      <c r="AB39" s="1210">
        <v>2.8326333011727866E-3</v>
      </c>
      <c r="AN39" s="1186"/>
    </row>
    <row r="40" spans="1:40" ht="15" customHeight="1" x14ac:dyDescent="0.2">
      <c r="A40" s="1184">
        <v>-0.2059332910160602</v>
      </c>
      <c r="B40" s="1185">
        <v>-0.39195267251636196</v>
      </c>
      <c r="C40" s="1186">
        <v>1</v>
      </c>
      <c r="D40" s="1187">
        <v>0.65062377149921558</v>
      </c>
      <c r="E40" s="1188">
        <v>-0.56601591474793589</v>
      </c>
      <c r="F40" s="1188">
        <v>-0.26052969223880434</v>
      </c>
      <c r="G40" s="1189">
        <v>0.73787490918291132</v>
      </c>
      <c r="H40" s="1190">
        <v>-0.40582602730336959</v>
      </c>
      <c r="I40" s="1188">
        <v>0.37362515954591802</v>
      </c>
      <c r="J40" s="1189">
        <v>0.37476445995607</v>
      </c>
      <c r="T40" s="1207">
        <f t="shared" si="0"/>
        <v>4.4000000000000039</v>
      </c>
      <c r="U40" s="1208" t="e">
        <f ca="1">[8]!NT_DIST(T40,DFR,0,0)</f>
        <v>#NAME?</v>
      </c>
      <c r="V40" s="1208">
        <v>0.33351501301703329</v>
      </c>
      <c r="W40" s="1209">
        <f t="shared" si="1"/>
        <v>-3.4277124136985901</v>
      </c>
      <c r="X40" s="1208" t="e">
        <f ca="1">[8]!NT_DIST(W40,DFR,0,0)</f>
        <v>#NAME?</v>
      </c>
      <c r="Y40" s="1209">
        <f t="shared" si="2"/>
        <v>6.5547338915851059</v>
      </c>
      <c r="Z40" s="1210" t="e">
        <f ca="1">[8]!NT_DIST(Y40,DFR,0,0)</f>
        <v>#NAME?</v>
      </c>
      <c r="AA40" s="1209">
        <f t="shared" si="3"/>
        <v>1.2729785221134819</v>
      </c>
      <c r="AB40" s="1210">
        <v>3.6309353547394657E-3</v>
      </c>
    </row>
    <row r="41" spans="1:40" ht="15" customHeight="1" x14ac:dyDescent="0.2">
      <c r="A41" s="1184">
        <v>-1.3857916951832623</v>
      </c>
      <c r="B41" s="1185">
        <v>-0.80015285262678182</v>
      </c>
      <c r="C41" s="1186">
        <v>1</v>
      </c>
      <c r="D41" s="1187">
        <v>1.4672647497421691</v>
      </c>
      <c r="E41" s="1188">
        <v>-0.56601591474793589</v>
      </c>
      <c r="F41" s="1188">
        <v>-0.81925718086976151</v>
      </c>
      <c r="G41" s="1189">
        <v>0.73787490918291132</v>
      </c>
      <c r="H41" s="1190">
        <v>0.82814043520452207</v>
      </c>
      <c r="I41" s="1188">
        <v>0.95937407235806393</v>
      </c>
      <c r="J41" s="1189">
        <v>0.67295122025026133</v>
      </c>
      <c r="T41" s="1207">
        <f t="shared" si="0"/>
        <v>4.6400000000000041</v>
      </c>
      <c r="U41" s="1208" t="e">
        <f ca="1">[8]!NT_DIST(T41,DFR,0,0)</f>
        <v>#NAME?</v>
      </c>
      <c r="V41" s="1208">
        <v>0.28704467819429935</v>
      </c>
      <c r="W41" s="1209">
        <f t="shared" si="1"/>
        <v>-3.4113613398042641</v>
      </c>
      <c r="X41" s="1208" t="e">
        <f ca="1">[8]!NT_DIST(W41,DFR,0,0)</f>
        <v>#NAME?</v>
      </c>
      <c r="Y41" s="1209">
        <f t="shared" si="2"/>
        <v>6.6510849654794315</v>
      </c>
      <c r="Z41" s="1210" t="e">
        <f ca="1">[8]!NT_DIST(Y41,DFR,0,0)</f>
        <v>#NAME?</v>
      </c>
      <c r="AA41" s="1209">
        <f t="shared" si="3"/>
        <v>1.4002763743248303</v>
      </c>
      <c r="AB41" s="1210">
        <v>4.6248952162114719E-3</v>
      </c>
    </row>
    <row r="42" spans="1:40" ht="15" customHeight="1" x14ac:dyDescent="0.2">
      <c r="A42" s="1184">
        <v>-0.2059332910160602</v>
      </c>
      <c r="B42" s="1185">
        <v>-0.17485426015208372</v>
      </c>
      <c r="C42" s="1186">
        <v>1</v>
      </c>
      <c r="D42" s="1187">
        <v>0.65062377149921558</v>
      </c>
      <c r="E42" s="1188">
        <v>-0.56601591474793589</v>
      </c>
      <c r="F42" s="1188">
        <v>-0.81925718086976151</v>
      </c>
      <c r="G42" s="1189">
        <v>0.73787490918291132</v>
      </c>
      <c r="H42" s="1190">
        <v>-0.40582602730336959</v>
      </c>
      <c r="I42" s="1188">
        <v>0.37362515954591802</v>
      </c>
      <c r="J42" s="1189">
        <v>0.67295122025026133</v>
      </c>
      <c r="T42" s="1207">
        <f t="shared" si="0"/>
        <v>4.8800000000000043</v>
      </c>
      <c r="U42" s="1208" t="e">
        <f ca="1">[8]!NT_DIST(T42,DFR,0,0)</f>
        <v>#NAME?</v>
      </c>
      <c r="V42" s="1208">
        <v>0.23495207231243803</v>
      </c>
      <c r="W42" s="1209">
        <f t="shared" si="1"/>
        <v>-3.3950102659099382</v>
      </c>
      <c r="X42" s="1208" t="e">
        <f ca="1">[8]!NT_DIST(W42,DFR,0,0)</f>
        <v>#NAME?</v>
      </c>
      <c r="Y42" s="1209">
        <f t="shared" si="2"/>
        <v>6.7474360393737571</v>
      </c>
      <c r="Z42" s="1210" t="e">
        <f ca="1">[8]!NT_DIST(Y42,DFR,0,0)</f>
        <v>#NAME?</v>
      </c>
      <c r="AA42" s="1209">
        <f t="shared" si="3"/>
        <v>1.5275742265361787</v>
      </c>
      <c r="AB42" s="1210">
        <v>5.8536721824853765E-3</v>
      </c>
    </row>
    <row r="43" spans="1:40" ht="15" customHeight="1" x14ac:dyDescent="0.2">
      <c r="A43" s="1184">
        <v>-0.89418402678026143</v>
      </c>
      <c r="B43" s="1185">
        <v>-0.60727947658096015</v>
      </c>
      <c r="C43" s="1186">
        <v>1</v>
      </c>
      <c r="D43" s="1187">
        <v>0.42790350470568289</v>
      </c>
      <c r="E43" s="1188">
        <v>-0.56601591474793589</v>
      </c>
      <c r="F43" s="1188">
        <v>0.67340165737060576</v>
      </c>
      <c r="G43" s="1189">
        <v>0.73787490918291132</v>
      </c>
      <c r="H43" s="1190">
        <v>-0.57720595779746453</v>
      </c>
      <c r="I43" s="1188">
        <v>0.21387545605169647</v>
      </c>
      <c r="J43" s="1189">
        <v>-0.12366450433130094</v>
      </c>
      <c r="T43" s="1207">
        <f t="shared" si="0"/>
        <v>5.1200000000000045</v>
      </c>
      <c r="U43" s="1208" t="e">
        <f ca="1">[8]!NT_DIST(T43,DFR,0,0)</f>
        <v>#NAME?</v>
      </c>
      <c r="V43" s="1208">
        <v>0.18317241587801872</v>
      </c>
      <c r="W43" s="1209">
        <f t="shared" si="1"/>
        <v>-3.3786591920156122</v>
      </c>
      <c r="X43" s="1208" t="e">
        <f ca="1">[8]!NT_DIST(W43,DFR,0,0)</f>
        <v>#NAME?</v>
      </c>
      <c r="Y43" s="1209">
        <f t="shared" si="2"/>
        <v>6.8437871132680828</v>
      </c>
      <c r="Z43" s="1210" t="e">
        <f ca="1">[8]!NT_DIST(Y43,DFR,0,0)</f>
        <v>#NAME?</v>
      </c>
      <c r="AA43" s="1209">
        <f t="shared" si="3"/>
        <v>1.6548720787475271</v>
      </c>
      <c r="AB43" s="1210">
        <v>7.3618472876306705E-3</v>
      </c>
    </row>
    <row r="44" spans="1:40" ht="15" customHeight="1" x14ac:dyDescent="0.2">
      <c r="A44" s="1184">
        <v>-1.0416663273011617</v>
      </c>
      <c r="B44" s="1185">
        <v>-0.96690400171158142</v>
      </c>
      <c r="C44" s="1186">
        <v>1</v>
      </c>
      <c r="D44" s="1187">
        <v>0.9475841272239256</v>
      </c>
      <c r="E44" s="1188">
        <v>-0.56601591474793589</v>
      </c>
      <c r="F44" s="1188">
        <v>0.67340165737060576</v>
      </c>
      <c r="G44" s="1189">
        <v>0.73787490918291132</v>
      </c>
      <c r="H44" s="1190">
        <v>-6.7215201669508326E-2</v>
      </c>
      <c r="I44" s="1188">
        <v>0.58662476420487997</v>
      </c>
      <c r="J44" s="1189">
        <v>-0.12366450433130094</v>
      </c>
      <c r="T44" s="1207">
        <f t="shared" si="0"/>
        <v>5.3600000000000048</v>
      </c>
      <c r="U44" s="1208" t="e">
        <f ca="1">[8]!NT_DIST(T44,DFR,0,0)</f>
        <v>#NAME?</v>
      </c>
      <c r="V44" s="1208">
        <v>0.136229807474917</v>
      </c>
      <c r="W44" s="1209">
        <f t="shared" si="1"/>
        <v>-3.3623081181212862</v>
      </c>
      <c r="X44" s="1208" t="e">
        <f ca="1">[8]!NT_DIST(W44,DFR,0,0)</f>
        <v>#NAME?</v>
      </c>
      <c r="Y44" s="1209">
        <f t="shared" si="2"/>
        <v>6.9401381871624084</v>
      </c>
      <c r="Z44" s="1210" t="e">
        <f ca="1">[8]!NT_DIST(Y44,DFR,0,0)</f>
        <v>#NAME?</v>
      </c>
      <c r="AA44" s="1209">
        <f t="shared" si="3"/>
        <v>1.7821699309588754</v>
      </c>
      <c r="AB44" s="1210">
        <v>9.1995546207597357E-3</v>
      </c>
    </row>
    <row r="45" spans="1:40" ht="15" customHeight="1" x14ac:dyDescent="0.2">
      <c r="A45" s="1184">
        <v>-0.84502325993996141</v>
      </c>
      <c r="B45" s="1185">
        <v>-0.5297829412597449</v>
      </c>
      <c r="C45" s="1186">
        <v>1</v>
      </c>
      <c r="D45" s="1187">
        <v>0.20518323791214954</v>
      </c>
      <c r="E45" s="1188">
        <v>-0.56601591474793589</v>
      </c>
      <c r="F45" s="1188">
        <v>0.82837716516605375</v>
      </c>
      <c r="G45" s="1189">
        <v>0.73787490918291132</v>
      </c>
      <c r="H45" s="1190">
        <v>-0.67780458366472984</v>
      </c>
      <c r="I45" s="1188">
        <v>5.4125752557474476E-2</v>
      </c>
      <c r="J45" s="1189">
        <v>-0.20637324076326638</v>
      </c>
      <c r="T45" s="1207">
        <f t="shared" si="0"/>
        <v>5.600000000000005</v>
      </c>
      <c r="U45" s="1208" t="e">
        <f ca="1">[8]!NT_DIST(T45,DFR,0,0)</f>
        <v>#NAME?</v>
      </c>
      <c r="V45" s="1208">
        <v>9.6809044835978103E-2</v>
      </c>
      <c r="W45" s="1209">
        <f t="shared" si="1"/>
        <v>-3.3459570442269602</v>
      </c>
      <c r="X45" s="1208" t="e">
        <f ca="1">[8]!NT_DIST(W45,DFR,0,0)</f>
        <v>#NAME?</v>
      </c>
      <c r="Y45" s="1209">
        <f t="shared" si="2"/>
        <v>7.036489261056734</v>
      </c>
      <c r="Z45" s="1210" t="e">
        <f ca="1">[8]!NT_DIST(Y45,DFR,0,0)</f>
        <v>#NAME?</v>
      </c>
      <c r="AA45" s="1209">
        <f t="shared" si="3"/>
        <v>1.9094677831702238</v>
      </c>
      <c r="AB45" s="1210">
        <v>1.1422442394442759E-2</v>
      </c>
    </row>
    <row r="46" spans="1:40" ht="15" customHeight="1" x14ac:dyDescent="0.2">
      <c r="A46" s="1184">
        <v>-0.45173712521756065</v>
      </c>
      <c r="B46" s="1185">
        <v>-0.17037657046444354</v>
      </c>
      <c r="C46" s="1186">
        <v>1</v>
      </c>
      <c r="D46" s="1187">
        <v>-0.53721765139962652</v>
      </c>
      <c r="E46" s="1188">
        <v>-0.56601591474793589</v>
      </c>
      <c r="F46" s="1188">
        <v>0.90178661622705536</v>
      </c>
      <c r="G46" s="1189">
        <v>0.73787490918291132</v>
      </c>
      <c r="H46" s="1190">
        <v>-0.50193502536184287</v>
      </c>
      <c r="I46" s="1188">
        <v>-0.47837325908993106</v>
      </c>
      <c r="J46" s="1189">
        <v>-0.2455510632836711</v>
      </c>
      <c r="T46" s="1207">
        <f t="shared" si="0"/>
        <v>5.8400000000000052</v>
      </c>
      <c r="U46" s="1208" t="e">
        <f ca="1">[8]!NT_DIST(T46,DFR,0,0)</f>
        <v>#NAME?</v>
      </c>
      <c r="V46" s="1208">
        <v>6.5842685358382502E-2</v>
      </c>
      <c r="W46" s="1209">
        <f t="shared" si="1"/>
        <v>-3.3296059703326342</v>
      </c>
      <c r="X46" s="1208" t="e">
        <f ca="1">[8]!NT_DIST(W46,DFR,0,0)</f>
        <v>#NAME?</v>
      </c>
      <c r="Y46" s="1209">
        <f t="shared" si="2"/>
        <v>7.1328403349510596</v>
      </c>
      <c r="Z46" s="1210" t="e">
        <f ca="1">[8]!NT_DIST(Y46,DFR,0,0)</f>
        <v>#NAME?</v>
      </c>
      <c r="AA46" s="1209">
        <f t="shared" si="3"/>
        <v>2.0367656353815722</v>
      </c>
      <c r="AB46" s="1210">
        <v>1.4091421882092635E-2</v>
      </c>
    </row>
    <row r="47" spans="1:40" ht="15" customHeight="1" x14ac:dyDescent="0.2">
      <c r="A47" s="1184">
        <v>-0.10761175733546002</v>
      </c>
      <c r="B47" s="1185">
        <v>2.0245851930294691E-2</v>
      </c>
      <c r="C47" s="1186">
        <v>1</v>
      </c>
      <c r="D47" s="1187">
        <v>-1.2053784517802246</v>
      </c>
      <c r="E47" s="1188">
        <v>-0.56601591474793589</v>
      </c>
      <c r="F47" s="1188">
        <v>1.0689970325326703</v>
      </c>
      <c r="G47" s="1189">
        <v>0.73787490918291132</v>
      </c>
      <c r="H47" s="1190">
        <v>0.32876997106563771</v>
      </c>
      <c r="I47" s="1188">
        <v>-0.95762236957259572</v>
      </c>
      <c r="J47" s="1189">
        <v>-0.33478943680237067</v>
      </c>
      <c r="T47" s="1207">
        <f t="shared" si="0"/>
        <v>6.0800000000000054</v>
      </c>
      <c r="U47" s="1208" t="e">
        <f ca="1">[8]!NT_DIST(T47,DFR,0,0)</f>
        <v>#NAME?</v>
      </c>
      <c r="V47" s="1208">
        <v>4.2931330042364158E-2</v>
      </c>
      <c r="W47" s="1209">
        <f t="shared" si="1"/>
        <v>-3.3132548964383082</v>
      </c>
      <c r="X47" s="1208" t="e">
        <f ca="1">[8]!NT_DIST(W47,DFR,0,0)</f>
        <v>#NAME?</v>
      </c>
      <c r="Y47" s="1209">
        <f t="shared" si="2"/>
        <v>7.2291914088453852</v>
      </c>
      <c r="Z47" s="1210" t="e">
        <f ca="1">[8]!NT_DIST(Y47,DFR,0,0)</f>
        <v>#NAME?</v>
      </c>
      <c r="AA47" s="1209">
        <f t="shared" si="3"/>
        <v>2.1640634875929203</v>
      </c>
      <c r="AB47" s="1210">
        <v>1.7272162853686161E-2</v>
      </c>
    </row>
    <row r="48" spans="1:40" ht="15" customHeight="1" x14ac:dyDescent="0.2">
      <c r="A48" s="1184">
        <v>-5.8450990495159935E-2</v>
      </c>
      <c r="B48" s="1185">
        <v>2.0779200981106735E-2</v>
      </c>
      <c r="C48" s="1186">
        <v>1</v>
      </c>
      <c r="D48" s="1187">
        <v>-1.4280987185737577</v>
      </c>
      <c r="E48" s="1188">
        <v>-0.56601591474793589</v>
      </c>
      <c r="F48" s="1188">
        <v>1.2362074488382853</v>
      </c>
      <c r="G48" s="1189">
        <v>0.73787490918291132</v>
      </c>
      <c r="H48" s="1190">
        <v>0.74723424579512476</v>
      </c>
      <c r="I48" s="1188">
        <v>-1.1173720730668175</v>
      </c>
      <c r="J48" s="1189">
        <v>-0.42402781032107034</v>
      </c>
      <c r="T48" s="1207">
        <f t="shared" si="0"/>
        <v>6.3200000000000056</v>
      </c>
      <c r="U48" s="1208" t="e">
        <f ca="1">[8]!NT_DIST(T48,DFR,0,0)</f>
        <v>#NAME?</v>
      </c>
      <c r="V48" s="1208">
        <v>2.6881345942012295E-2</v>
      </c>
      <c r="W48" s="1209">
        <f t="shared" si="1"/>
        <v>-3.2969038225439822</v>
      </c>
      <c r="X48" s="1208" t="e">
        <f ca="1">[8]!NT_DIST(W48,DFR,0,0)</f>
        <v>#NAME?</v>
      </c>
      <c r="Y48" s="1209">
        <f t="shared" si="2"/>
        <v>7.3255424827397109</v>
      </c>
      <c r="Z48" s="1210" t="e">
        <f ca="1">[8]!NT_DIST(Y48,DFR,0,0)</f>
        <v>#NAME?</v>
      </c>
      <c r="AA48" s="1209">
        <f t="shared" si="3"/>
        <v>2.2913613398042685</v>
      </c>
      <c r="AB48" s="1210">
        <v>2.1034297247901696E-2</v>
      </c>
    </row>
    <row r="49" spans="1:28" ht="15" customHeight="1" x14ac:dyDescent="0.2">
      <c r="A49" s="1184">
        <v>-0.15677252417576013</v>
      </c>
      <c r="B49" s="1185">
        <v>-0.13293654296735194</v>
      </c>
      <c r="C49" s="1186">
        <v>1</v>
      </c>
      <c r="D49" s="1187">
        <v>-0.46297756246844851</v>
      </c>
      <c r="E49" s="1188">
        <v>-0.56601591474793589</v>
      </c>
      <c r="F49" s="1188">
        <v>0.71826298857455118</v>
      </c>
      <c r="G49" s="1189">
        <v>0.73787490918291132</v>
      </c>
      <c r="H49" s="1190">
        <v>-0.55491263350554665</v>
      </c>
      <c r="I49" s="1188">
        <v>-0.42512335792519018</v>
      </c>
      <c r="J49" s="1189">
        <v>-0.14760650698265934</v>
      </c>
      <c r="T49" s="1207">
        <f t="shared" si="0"/>
        <v>6.5600000000000058</v>
      </c>
      <c r="U49" s="1208" t="e">
        <f ca="1">[8]!NT_DIST(T49,DFR,0,0)</f>
        <v>#NAME?</v>
      </c>
      <c r="V49" s="1208">
        <v>1.6191073323151943E-2</v>
      </c>
      <c r="W49" s="1209">
        <f t="shared" si="1"/>
        <v>-3.2805527486496562</v>
      </c>
      <c r="X49" s="1208" t="e">
        <f ca="1">[8]!NT_DIST(W49,DFR,0,0)</f>
        <v>#NAME?</v>
      </c>
      <c r="Y49" s="1209">
        <f t="shared" si="2"/>
        <v>7.4218935566340365</v>
      </c>
      <c r="Z49" s="1210" t="e">
        <f ca="1">[8]!NT_DIST(Y49,DFR,0,0)</f>
        <v>#NAME?</v>
      </c>
      <c r="AA49" s="1209">
        <f t="shared" si="3"/>
        <v>2.4186591920156166</v>
      </c>
      <c r="AB49" s="1210">
        <v>2.5450298942904168E-2</v>
      </c>
    </row>
    <row r="50" spans="1:28" ht="15" customHeight="1" x14ac:dyDescent="0.2">
      <c r="A50" s="1184">
        <v>-0.35341559153696045</v>
      </c>
      <c r="B50" s="1185">
        <v>-0.35612444586644193</v>
      </c>
      <c r="C50" s="1186">
        <v>1</v>
      </c>
      <c r="D50" s="1187">
        <v>0.1309431489809722</v>
      </c>
      <c r="E50" s="1188">
        <v>-0.56601591474793589</v>
      </c>
      <c r="F50" s="1188">
        <v>0.49395633255482391</v>
      </c>
      <c r="G50" s="1189">
        <v>0.73787490918291132</v>
      </c>
      <c r="H50" s="1190">
        <v>-0.69560828014785603</v>
      </c>
      <c r="I50" s="1188">
        <v>8.7585139273410313E-4</v>
      </c>
      <c r="J50" s="1189">
        <v>-2.7896493725867205E-2</v>
      </c>
      <c r="T50" s="1207">
        <f t="shared" si="0"/>
        <v>6.800000000000006</v>
      </c>
      <c r="U50" s="1208" t="e">
        <f ca="1">[8]!NT_DIST(T50,DFR,0,0)</f>
        <v>#NAME?</v>
      </c>
      <c r="V50" s="1208">
        <v>9.3969364380277944E-3</v>
      </c>
      <c r="W50" s="1209">
        <f t="shared" si="1"/>
        <v>-3.2642016747553302</v>
      </c>
      <c r="X50" s="1208" t="e">
        <f ca="1">[8]!NT_DIST(W50,DFR,0,0)</f>
        <v>#NAME?</v>
      </c>
      <c r="Y50" s="1209">
        <f t="shared" si="2"/>
        <v>7.5182446305283621</v>
      </c>
      <c r="Z50" s="1210" t="e">
        <f ca="1">[8]!NT_DIST(Y50,DFR,0,0)</f>
        <v>#NAME?</v>
      </c>
      <c r="AA50" s="1209">
        <f t="shared" si="3"/>
        <v>2.5459570442269648</v>
      </c>
      <c r="AB50" s="1210">
        <v>3.0594016916906497E-2</v>
      </c>
    </row>
    <row r="51" spans="1:28" ht="15" customHeight="1" x14ac:dyDescent="0.2">
      <c r="A51" s="1184">
        <v>-0.84502325993996141</v>
      </c>
      <c r="B51" s="1185">
        <v>-1.1868759915340661</v>
      </c>
      <c r="C51" s="1186">
        <v>1</v>
      </c>
      <c r="D51" s="1187">
        <v>1.3187845718798137</v>
      </c>
      <c r="E51" s="1188">
        <v>-0.56601591474793589</v>
      </c>
      <c r="F51" s="1188">
        <v>0.49395633255482391</v>
      </c>
      <c r="G51" s="1189">
        <v>0.73787490918291132</v>
      </c>
      <c r="H51" s="1190">
        <v>0.53300159193989338</v>
      </c>
      <c r="I51" s="1188">
        <v>0.85287427002858274</v>
      </c>
      <c r="J51" s="1189">
        <v>-2.7896493725867205E-2</v>
      </c>
      <c r="T51" s="1207">
        <f t="shared" si="0"/>
        <v>7.0400000000000063</v>
      </c>
      <c r="U51" s="1208" t="e">
        <f ca="1">[8]!NT_DIST(T51,DFR,0,0)</f>
        <v>#NAME?</v>
      </c>
      <c r="V51" s="1208">
        <v>5.2640228156492497E-3</v>
      </c>
      <c r="W51" s="1209">
        <f t="shared" si="1"/>
        <v>-3.2478506008610042</v>
      </c>
      <c r="X51" s="1208" t="e">
        <f ca="1">[8]!NT_DIST(W51,DFR,0,0)</f>
        <v>#NAME?</v>
      </c>
      <c r="Y51" s="1209">
        <f t="shared" si="2"/>
        <v>7.6145957044226877</v>
      </c>
      <c r="Z51" s="1210" t="e">
        <f ca="1">[8]!NT_DIST(Y51,DFR,0,0)</f>
        <v>#NAME?</v>
      </c>
      <c r="AA51" s="1209">
        <f t="shared" si="3"/>
        <v>2.6732548964383129</v>
      </c>
      <c r="AB51" s="1210">
        <v>3.6538851930549246E-2</v>
      </c>
    </row>
    <row r="52" spans="1:28" ht="15" customHeight="1" x14ac:dyDescent="0.2">
      <c r="A52" s="1184">
        <v>-0.45173712521756065</v>
      </c>
      <c r="B52" s="1185">
        <v>-0.32034302347757515</v>
      </c>
      <c r="C52" s="1186">
        <v>1</v>
      </c>
      <c r="D52" s="1187">
        <v>-0.24025729567491583</v>
      </c>
      <c r="E52" s="1188">
        <v>-0.56601591474793589</v>
      </c>
      <c r="F52" s="1188">
        <v>0.92217813041066699</v>
      </c>
      <c r="G52" s="1189">
        <v>0.73787490918291132</v>
      </c>
      <c r="H52" s="1190">
        <v>-0.66665792151877079</v>
      </c>
      <c r="I52" s="1188">
        <v>-0.26537365443096866</v>
      </c>
      <c r="J52" s="1189">
        <v>-0.25643379176156134</v>
      </c>
      <c r="T52" s="1207">
        <f t="shared" si="0"/>
        <v>7.2800000000000065</v>
      </c>
      <c r="U52" s="1208" t="e">
        <f ca="1">[8]!NT_DIST(T52,DFR,0,0)</f>
        <v>#NAME?</v>
      </c>
      <c r="V52" s="1208">
        <v>2.8510097855238598E-3</v>
      </c>
      <c r="W52" s="1209">
        <f t="shared" si="1"/>
        <v>-3.2314995269666782</v>
      </c>
      <c r="X52" s="1208" t="e">
        <f ca="1">[8]!NT_DIST(W52,DFR,0,0)</f>
        <v>#NAME?</v>
      </c>
      <c r="Y52" s="1209">
        <f t="shared" si="2"/>
        <v>7.7109467783170134</v>
      </c>
      <c r="Z52" s="1210" t="e">
        <f ca="1">[8]!NT_DIST(Y52,DFR,0,0)</f>
        <v>#NAME?</v>
      </c>
      <c r="AA52" s="1209">
        <f t="shared" si="3"/>
        <v>2.8005527486496611</v>
      </c>
      <c r="AB52" s="1210">
        <v>4.3355582991873517E-2</v>
      </c>
    </row>
    <row r="53" spans="1:28" ht="15" customHeight="1" x14ac:dyDescent="0.2">
      <c r="A53" s="1184">
        <v>-0.59921942573846088</v>
      </c>
      <c r="B53" s="1185">
        <v>-0.56623011997783534</v>
      </c>
      <c r="C53" s="1186">
        <v>1</v>
      </c>
      <c r="D53" s="1187">
        <v>0.20518323791214954</v>
      </c>
      <c r="E53" s="1188">
        <v>-0.56601591474793589</v>
      </c>
      <c r="F53" s="1188">
        <v>0.92217813041066699</v>
      </c>
      <c r="G53" s="1189">
        <v>0.73787490918291132</v>
      </c>
      <c r="H53" s="1190">
        <v>-0.67780458366472984</v>
      </c>
      <c r="I53" s="1188">
        <v>5.4125752557474476E-2</v>
      </c>
      <c r="J53" s="1189">
        <v>-0.25643379176156134</v>
      </c>
      <c r="T53" s="1207">
        <f t="shared" si="0"/>
        <v>7.5200000000000067</v>
      </c>
      <c r="U53" s="1208" t="e">
        <f ca="1">[8]!NT_DIST(T53,DFR,0,0)</f>
        <v>#NAME?</v>
      </c>
      <c r="V53" s="1208">
        <v>1.4953711974663487E-3</v>
      </c>
      <c r="W53" s="1209">
        <f t="shared" si="1"/>
        <v>-3.2151484530723522</v>
      </c>
      <c r="X53" s="1208" t="e">
        <f ca="1">[8]!NT_DIST(W53,DFR,0,0)</f>
        <v>#NAME?</v>
      </c>
      <c r="Y53" s="1209">
        <f t="shared" si="2"/>
        <v>7.807297852211339</v>
      </c>
      <c r="Z53" s="1210" t="e">
        <f ca="1">[8]!NT_DIST(Y53,DFR,0,0)</f>
        <v>#NAME?</v>
      </c>
      <c r="AA53" s="1209">
        <f t="shared" si="3"/>
        <v>2.9278506008610092</v>
      </c>
      <c r="AB53" s="1210">
        <v>5.1109868886706974E-2</v>
      </c>
    </row>
    <row r="54" spans="1:28" ht="15" customHeight="1" x14ac:dyDescent="0.2">
      <c r="A54" s="1184">
        <v>-0.84502325993996141</v>
      </c>
      <c r="B54" s="1185">
        <v>-0.75203642868637544</v>
      </c>
      <c r="C54" s="1186">
        <v>1</v>
      </c>
      <c r="D54" s="1187">
        <v>0.50214359363686023</v>
      </c>
      <c r="E54" s="1188">
        <v>-0.56601591474793589</v>
      </c>
      <c r="F54" s="1188">
        <v>0.92217813041066699</v>
      </c>
      <c r="G54" s="1189">
        <v>0.73787490918291132</v>
      </c>
      <c r="H54" s="1190">
        <v>-0.52794390370241406</v>
      </c>
      <c r="I54" s="1188">
        <v>0.26712535721643682</v>
      </c>
      <c r="J54" s="1189">
        <v>-0.25643379176156134</v>
      </c>
      <c r="T54" s="1207">
        <f t="shared" si="0"/>
        <v>7.7600000000000069</v>
      </c>
      <c r="U54" s="1208" t="e">
        <f ca="1">[8]!NT_DIST(T54,DFR,0,0)</f>
        <v>#NAME?</v>
      </c>
      <c r="V54" s="1208">
        <v>7.6081224085755507E-4</v>
      </c>
      <c r="W54" s="1209">
        <f t="shared" si="1"/>
        <v>-3.1987973791780262</v>
      </c>
      <c r="X54" s="1208" t="e">
        <f ca="1">[8]!NT_DIST(W54,DFR,0,0)</f>
        <v>#NAME?</v>
      </c>
      <c r="Y54" s="1209">
        <f t="shared" si="2"/>
        <v>7.9036489261056646</v>
      </c>
      <c r="Z54" s="1210" t="e">
        <f ca="1">[8]!NT_DIST(Y54,DFR,0,0)</f>
        <v>#NAME?</v>
      </c>
      <c r="AA54" s="1209">
        <f t="shared" si="3"/>
        <v>3.0551484530723574</v>
      </c>
      <c r="AB54" s="1210">
        <v>5.9859471285060563E-2</v>
      </c>
    </row>
    <row r="55" spans="1:28" ht="15" customHeight="1" x14ac:dyDescent="0.2">
      <c r="A55" s="1184">
        <v>-0.40257635837726058</v>
      </c>
      <c r="B55" s="1185">
        <v>-0.24010160801209499</v>
      </c>
      <c r="C55" s="1186">
        <v>1</v>
      </c>
      <c r="D55" s="1187">
        <v>-0.53721765139962652</v>
      </c>
      <c r="E55" s="1188">
        <v>-0.56601591474793589</v>
      </c>
      <c r="F55" s="1188">
        <v>1.0812319410428373</v>
      </c>
      <c r="G55" s="1189">
        <v>0.73787490918291132</v>
      </c>
      <c r="H55" s="1190">
        <v>-0.50193502536184287</v>
      </c>
      <c r="I55" s="1188">
        <v>-0.47837325908993106</v>
      </c>
      <c r="J55" s="1189">
        <v>-0.34131907388910482</v>
      </c>
      <c r="T55" s="1242">
        <f t="shared" si="0"/>
        <v>8.0000000000000071</v>
      </c>
      <c r="U55" s="1243" t="e">
        <f ca="1">[8]!NT_DIST(T55,DFR,0,0)</f>
        <v>#NAME?</v>
      </c>
      <c r="V55" s="1243">
        <v>3.7607968432261352E-4</v>
      </c>
      <c r="W55" s="1244">
        <f t="shared" si="1"/>
        <v>-3.1824463052837002</v>
      </c>
      <c r="X55" s="1243" t="e">
        <f ca="1">[8]!NT_DIST(W55,DFR,0,0)</f>
        <v>#NAME?</v>
      </c>
      <c r="Y55" s="1244">
        <f t="shared" si="2"/>
        <v>7.9999999999999902</v>
      </c>
      <c r="Z55" s="1245" t="e">
        <f ca="1">[8]!NT_DIST(Y55,DFR,0,0)</f>
        <v>#NAME?</v>
      </c>
      <c r="AA55" s="1244">
        <f t="shared" si="3"/>
        <v>3.1824463052837055</v>
      </c>
      <c r="AB55" s="1245">
        <v>6.9651268386095797E-2</v>
      </c>
    </row>
    <row r="56" spans="1:28" ht="15" customHeight="1" x14ac:dyDescent="0.2">
      <c r="A56" s="1184">
        <v>3.9870543185440248E-2</v>
      </c>
      <c r="B56" s="1185">
        <v>3.3479415941938956E-3</v>
      </c>
      <c r="C56" s="1186">
        <v>1</v>
      </c>
      <c r="D56" s="1187">
        <v>-1.4280987185737577</v>
      </c>
      <c r="E56" s="1188">
        <v>-0.56601591474793589</v>
      </c>
      <c r="F56" s="1188">
        <v>1.2810687800422307</v>
      </c>
      <c r="G56" s="1189">
        <v>0.73787490918291132</v>
      </c>
      <c r="H56" s="1190">
        <v>0.74723424579512476</v>
      </c>
      <c r="I56" s="1188">
        <v>-1.1173720730668175</v>
      </c>
      <c r="J56" s="1189">
        <v>-0.44796981297242872</v>
      </c>
      <c r="Z56" s="1142"/>
    </row>
    <row r="57" spans="1:28" ht="15" customHeight="1" x14ac:dyDescent="0.2">
      <c r="A57" s="1184">
        <v>-0.2550940578563603</v>
      </c>
      <c r="B57" s="1185">
        <v>-0.17115141836528225</v>
      </c>
      <c r="C57" s="1186">
        <v>1</v>
      </c>
      <c r="D57" s="1187">
        <v>-0.9084180960555146</v>
      </c>
      <c r="E57" s="1188">
        <v>-0.56601591474793589</v>
      </c>
      <c r="F57" s="1188">
        <v>1.2973819913891198</v>
      </c>
      <c r="G57" s="1189">
        <v>0.73787490918291132</v>
      </c>
      <c r="H57" s="1190">
        <v>-0.11907814359860856</v>
      </c>
      <c r="I57" s="1188">
        <v>-0.74462276491363377</v>
      </c>
      <c r="J57" s="1189">
        <v>-0.45667599575474083</v>
      </c>
      <c r="Z57" s="1142"/>
    </row>
    <row r="58" spans="1:28" ht="15" customHeight="1" x14ac:dyDescent="0.2">
      <c r="A58" s="1184">
        <v>-0.55005865889816086</v>
      </c>
      <c r="B58" s="1185">
        <v>-0.44077717924170018</v>
      </c>
      <c r="C58" s="1186">
        <v>1</v>
      </c>
      <c r="D58" s="1187">
        <v>-0.24025729567491583</v>
      </c>
      <c r="E58" s="1188">
        <v>-0.56601591474793589</v>
      </c>
      <c r="F58" s="1188">
        <v>1.2321291460015629</v>
      </c>
      <c r="G58" s="1189">
        <v>0.73787490918291132</v>
      </c>
      <c r="H58" s="1190">
        <v>-0.66665792151877079</v>
      </c>
      <c r="I58" s="1188">
        <v>-0.26537365443096866</v>
      </c>
      <c r="J58" s="1189">
        <v>-0.42185126462549227</v>
      </c>
      <c r="Z58" s="1142"/>
    </row>
    <row r="59" spans="1:28" ht="15" customHeight="1" x14ac:dyDescent="0.2">
      <c r="A59" s="1184">
        <v>-0.84502325993996141</v>
      </c>
      <c r="B59" s="1185">
        <v>-0.72196677492537953</v>
      </c>
      <c r="C59" s="1186">
        <v>1</v>
      </c>
      <c r="D59" s="1187">
        <v>0.27942332684332755</v>
      </c>
      <c r="E59" s="1188">
        <v>-0.56601591474793589</v>
      </c>
      <c r="F59" s="1188">
        <v>1.207659328981229</v>
      </c>
      <c r="G59" s="1189">
        <v>0.73787490918291132</v>
      </c>
      <c r="H59" s="1190">
        <v>-0.65213629777862248</v>
      </c>
      <c r="I59" s="1188">
        <v>0.1073756537222153</v>
      </c>
      <c r="J59" s="1189">
        <v>-0.40879199045202402</v>
      </c>
      <c r="Z59" s="1142"/>
    </row>
    <row r="60" spans="1:28" ht="15" customHeight="1" x14ac:dyDescent="0.2">
      <c r="A60" s="1184">
        <v>-0.99250556046086169</v>
      </c>
      <c r="B60" s="1185">
        <v>-0.99654915811249334</v>
      </c>
      <c r="C60" s="1186">
        <v>1</v>
      </c>
      <c r="D60" s="1187">
        <v>0.79910394936157092</v>
      </c>
      <c r="E60" s="1188">
        <v>-0.56601591474793589</v>
      </c>
      <c r="F60" s="1188">
        <v>1.0282140041654471</v>
      </c>
      <c r="G60" s="1189">
        <v>0.73787490918291132</v>
      </c>
      <c r="H60" s="1190">
        <v>-0.25224979329240071</v>
      </c>
      <c r="I60" s="1188">
        <v>0.48012496187539921</v>
      </c>
      <c r="J60" s="1189">
        <v>-0.31302397984659031</v>
      </c>
      <c r="Z60" s="1142"/>
    </row>
    <row r="61" spans="1:28" ht="15" customHeight="1" x14ac:dyDescent="0.2">
      <c r="A61" s="1184">
        <v>-0.30425482469666038</v>
      </c>
      <c r="B61" s="1185">
        <v>-9.3031923514719325E-2</v>
      </c>
      <c r="C61" s="1186">
        <v>1</v>
      </c>
      <c r="D61" s="1187">
        <v>-0.31449738460609317</v>
      </c>
      <c r="E61" s="1188">
        <v>-0.56601591474793589</v>
      </c>
      <c r="F61" s="1188">
        <v>0.43278179000398914</v>
      </c>
      <c r="G61" s="1189">
        <v>0.73787490918291132</v>
      </c>
      <c r="H61" s="1190">
        <v>-0.63727408158401055</v>
      </c>
      <c r="I61" s="1188">
        <v>-0.31862355559570904</v>
      </c>
      <c r="J61" s="1189">
        <v>4.7516917078034007E-3</v>
      </c>
      <c r="Z61" s="1142"/>
    </row>
    <row r="62" spans="1:28" ht="15" customHeight="1" x14ac:dyDescent="0.2">
      <c r="A62" s="1184">
        <v>-0.50089789205786073</v>
      </c>
      <c r="B62" s="1185">
        <v>-0.33235454670246989</v>
      </c>
      <c r="C62" s="1186">
        <v>1</v>
      </c>
      <c r="D62" s="1187">
        <v>0.1309431489809722</v>
      </c>
      <c r="E62" s="1188">
        <v>-0.56601591474793589</v>
      </c>
      <c r="F62" s="1188">
        <v>0.43278179000398914</v>
      </c>
      <c r="G62" s="1189">
        <v>0.73787490918291132</v>
      </c>
      <c r="H62" s="1190">
        <v>-0.69560828014785603</v>
      </c>
      <c r="I62" s="1188">
        <v>8.7585139273410313E-4</v>
      </c>
      <c r="J62" s="1189">
        <v>4.7516917078034007E-3</v>
      </c>
      <c r="Z62" s="1142"/>
    </row>
    <row r="63" spans="1:28" ht="15" customHeight="1" x14ac:dyDescent="0.2">
      <c r="A63" s="1184">
        <v>-0.94334479362056156</v>
      </c>
      <c r="B63" s="1185">
        <v>-0.59000001914180744</v>
      </c>
      <c r="C63" s="1186">
        <v>1</v>
      </c>
      <c r="D63" s="1187">
        <v>0.20518323791214954</v>
      </c>
      <c r="E63" s="1188">
        <v>-0.56601591474793589</v>
      </c>
      <c r="F63" s="1188">
        <v>0.98335267296150164</v>
      </c>
      <c r="G63" s="1189">
        <v>0.73787490918291132</v>
      </c>
      <c r="H63" s="1190">
        <v>-0.67780458366472984</v>
      </c>
      <c r="I63" s="1188">
        <v>5.4125752557474476E-2</v>
      </c>
      <c r="J63" s="1189">
        <v>-0.28908197719523182</v>
      </c>
      <c r="Z63" s="1142"/>
    </row>
    <row r="64" spans="1:28" ht="15" customHeight="1" x14ac:dyDescent="0.2">
      <c r="A64" s="1184">
        <v>-0.99250556046086169</v>
      </c>
      <c r="B64" s="1185">
        <v>-0.38086797198752637</v>
      </c>
      <c r="C64" s="1186">
        <v>1</v>
      </c>
      <c r="D64" s="1187">
        <v>1.0218242161551037</v>
      </c>
      <c r="E64" s="1188">
        <v>-0.56601591474793589</v>
      </c>
      <c r="F64" s="1188">
        <v>-0.97831099150193179</v>
      </c>
      <c r="G64" s="1189">
        <v>0.73787490918291132</v>
      </c>
      <c r="H64" s="1190">
        <v>3.7098978246410501E-2</v>
      </c>
      <c r="I64" s="1188">
        <v>0.63987466536962079</v>
      </c>
      <c r="J64" s="1189">
        <v>0.75783650237780475</v>
      </c>
      <c r="Z64" s="1142"/>
    </row>
    <row r="65" spans="1:26" ht="15" customHeight="1" x14ac:dyDescent="0.2">
      <c r="A65" s="1184">
        <v>0.28567437738694068</v>
      </c>
      <c r="B65" s="1185">
        <v>0.2636411385659857</v>
      </c>
      <c r="C65" s="1186">
        <v>1</v>
      </c>
      <c r="D65" s="1187">
        <v>-1.7537028881383143E-2</v>
      </c>
      <c r="E65" s="1188">
        <v>-0.56601591474793589</v>
      </c>
      <c r="F65" s="1188">
        <v>-0.88451002625731856</v>
      </c>
      <c r="G65" s="1189">
        <v>0.73787490918291132</v>
      </c>
      <c r="H65" s="1190">
        <v>-0.70762190490516519</v>
      </c>
      <c r="I65" s="1188">
        <v>-0.10562395093674709</v>
      </c>
      <c r="J65" s="1189">
        <v>0.70777595137950999</v>
      </c>
      <c r="Z65" s="1142"/>
    </row>
    <row r="66" spans="1:26" ht="15" customHeight="1" x14ac:dyDescent="0.2">
      <c r="A66" s="1184">
        <v>1.0722466468317422</v>
      </c>
      <c r="B66" s="1185">
        <v>0.87712629603730974</v>
      </c>
      <c r="C66" s="1186">
        <v>1</v>
      </c>
      <c r="D66" s="1187">
        <v>-1.5023388075049353</v>
      </c>
      <c r="E66" s="1188">
        <v>-0.56601591474793589</v>
      </c>
      <c r="F66" s="1188">
        <v>-0.91713644895109703</v>
      </c>
      <c r="G66" s="1189">
        <v>0.73787490918291132</v>
      </c>
      <c r="H66" s="1190">
        <v>0.90245151617758224</v>
      </c>
      <c r="I66" s="1188">
        <v>-1.1706219742315582</v>
      </c>
      <c r="J66" s="1189">
        <v>0.72518831694413421</v>
      </c>
      <c r="Z66" s="1142"/>
    </row>
    <row r="67" spans="1:26" ht="15" customHeight="1" x14ac:dyDescent="0.2">
      <c r="A67" s="1184">
        <v>0.38399591106754088</v>
      </c>
      <c r="B67" s="1185">
        <v>-4.1158201734229211E-3</v>
      </c>
      <c r="C67" s="1186">
        <v>1</v>
      </c>
      <c r="D67" s="1187">
        <v>0.27942332684332755</v>
      </c>
      <c r="E67" s="1188">
        <v>-0.56601591474793589</v>
      </c>
      <c r="F67" s="1188">
        <v>-0.63981185605397961</v>
      </c>
      <c r="G67" s="1189">
        <v>0.73787490918291132</v>
      </c>
      <c r="H67" s="1190">
        <v>-0.65213629777862248</v>
      </c>
      <c r="I67" s="1188">
        <v>0.1073756537222153</v>
      </c>
      <c r="J67" s="1189">
        <v>0.57718320964482761</v>
      </c>
      <c r="Z67" s="1142"/>
    </row>
    <row r="68" spans="1:26" ht="15" customHeight="1" x14ac:dyDescent="0.2">
      <c r="A68" s="1184">
        <v>-0.50089789205786073</v>
      </c>
      <c r="B68" s="1185">
        <v>-0.57716337367143788</v>
      </c>
      <c r="C68" s="1186">
        <v>1</v>
      </c>
      <c r="D68" s="1187">
        <v>1.0960643050862811</v>
      </c>
      <c r="E68" s="1188">
        <v>-0.56601591474793589</v>
      </c>
      <c r="F68" s="1188">
        <v>-0.6194203418703681</v>
      </c>
      <c r="G68" s="1189">
        <v>0.73787490918291132</v>
      </c>
      <c r="H68" s="1190">
        <v>0.14927774756530943</v>
      </c>
      <c r="I68" s="1188">
        <v>0.69312456653436127</v>
      </c>
      <c r="J68" s="1189">
        <v>0.56630048116693743</v>
      </c>
      <c r="Z68" s="1142"/>
    </row>
    <row r="69" spans="1:26" ht="15" customHeight="1" x14ac:dyDescent="0.2">
      <c r="A69" s="1184">
        <v>-1.2874701615026622</v>
      </c>
      <c r="B69" s="1185">
        <v>-1.1902986409734806</v>
      </c>
      <c r="C69" s="1186">
        <v>1</v>
      </c>
      <c r="D69" s="1187">
        <v>1.7642251054668792</v>
      </c>
      <c r="E69" s="1188">
        <v>-0.56601591474793589</v>
      </c>
      <c r="F69" s="1188">
        <v>-0.48483634825853167</v>
      </c>
      <c r="G69" s="1189">
        <v>0.73787490918291132</v>
      </c>
      <c r="H69" s="1190">
        <v>1.5127931945695503</v>
      </c>
      <c r="I69" s="1188">
        <v>1.1723736770170259</v>
      </c>
      <c r="J69" s="1189">
        <v>0.49447447321286209</v>
      </c>
      <c r="Z69" s="1142"/>
    </row>
    <row r="70" spans="1:26" ht="15" customHeight="1" x14ac:dyDescent="0.2">
      <c r="A70" s="1184">
        <v>0.58063897842874124</v>
      </c>
      <c r="B70" s="1185">
        <v>0.33923368711701818</v>
      </c>
      <c r="C70" s="1186">
        <v>1</v>
      </c>
      <c r="D70" s="1187">
        <v>-0.83417800712433654</v>
      </c>
      <c r="E70" s="1188">
        <v>-0.56601591474793589</v>
      </c>
      <c r="F70" s="1188">
        <v>-8.9240973096467141E-2</v>
      </c>
      <c r="G70" s="1189">
        <v>0.73787490918291132</v>
      </c>
      <c r="H70" s="1190">
        <v>-0.2113786987572181</v>
      </c>
      <c r="I70" s="1188">
        <v>-0.69137286374889295</v>
      </c>
      <c r="J70" s="1189">
        <v>0.28334954074179236</v>
      </c>
      <c r="Z70" s="1142"/>
    </row>
    <row r="71" spans="1:26" ht="15" customHeight="1" x14ac:dyDescent="0.2">
      <c r="A71" s="1184">
        <v>-9.2902236548598437E-3</v>
      </c>
      <c r="B71" s="1185">
        <v>-0.25766141125579167</v>
      </c>
      <c r="C71" s="1186">
        <v>1</v>
      </c>
      <c r="D71" s="1187">
        <v>0.27942332684332755</v>
      </c>
      <c r="E71" s="1188">
        <v>-0.56601591474793589</v>
      </c>
      <c r="F71" s="1188">
        <v>1.2716597821590731E-2</v>
      </c>
      <c r="G71" s="1189">
        <v>0.73787490918291132</v>
      </c>
      <c r="H71" s="1190">
        <v>-0.65213629777862248</v>
      </c>
      <c r="I71" s="1188">
        <v>0.1073756537222153</v>
      </c>
      <c r="J71" s="1189">
        <v>0.22893589835234138</v>
      </c>
    </row>
    <row r="72" spans="1:26" ht="15" customHeight="1" x14ac:dyDescent="0.2">
      <c r="A72" s="1184">
        <v>-0.45173712521756065</v>
      </c>
      <c r="B72" s="1185">
        <v>-0.77386363816519799</v>
      </c>
      <c r="C72" s="1186">
        <v>1</v>
      </c>
      <c r="D72" s="1187">
        <v>1.0218242161551037</v>
      </c>
      <c r="E72" s="1188">
        <v>-0.56601591474793589</v>
      </c>
      <c r="F72" s="1188">
        <v>3.3108112005202306E-2</v>
      </c>
      <c r="G72" s="1189">
        <v>0.73787490918291132</v>
      </c>
      <c r="H72" s="1190">
        <v>3.7098978246410501E-2</v>
      </c>
      <c r="I72" s="1188">
        <v>0.63987466536962079</v>
      </c>
      <c r="J72" s="1189">
        <v>0.2180531698744512</v>
      </c>
    </row>
    <row r="73" spans="1:26" ht="15" customHeight="1" x14ac:dyDescent="0.2">
      <c r="A73" s="1184">
        <v>-9.2902236548598437E-3</v>
      </c>
      <c r="B73" s="1185">
        <v>-7.9159334968765371E-2</v>
      </c>
      <c r="C73" s="1186">
        <v>1</v>
      </c>
      <c r="D73" s="1187">
        <v>-0.38873747353727117</v>
      </c>
      <c r="E73" s="1188">
        <v>-0.56601591474793589</v>
      </c>
      <c r="F73" s="1188">
        <v>0.48987802971810157</v>
      </c>
      <c r="G73" s="1189">
        <v>0.73787490918291132</v>
      </c>
      <c r="H73" s="1190">
        <v>-0.60002565224626903</v>
      </c>
      <c r="I73" s="1188">
        <v>-0.37187345676044981</v>
      </c>
      <c r="J73" s="1189">
        <v>-2.571994803028917E-2</v>
      </c>
    </row>
    <row r="74" spans="1:26" ht="15" customHeight="1" x14ac:dyDescent="0.2">
      <c r="A74" s="1184">
        <v>0.62979974526904137</v>
      </c>
      <c r="B74" s="1185">
        <v>0.32566463543315782</v>
      </c>
      <c r="C74" s="1186">
        <v>1</v>
      </c>
      <c r="D74" s="1187">
        <v>-1.5023388075049353</v>
      </c>
      <c r="E74" s="1188">
        <v>-0.56601591474793589</v>
      </c>
      <c r="F74" s="1188">
        <v>0.50211293822826852</v>
      </c>
      <c r="G74" s="1189">
        <v>0.73787490918291132</v>
      </c>
      <c r="H74" s="1190">
        <v>0.90245151617758224</v>
      </c>
      <c r="I74" s="1188">
        <v>-1.1706219742315582</v>
      </c>
      <c r="J74" s="1189">
        <v>-3.2249585117023277E-2</v>
      </c>
    </row>
    <row r="75" spans="1:26" ht="15" customHeight="1" x14ac:dyDescent="0.2">
      <c r="A75" s="1184">
        <v>-0.40257635837726058</v>
      </c>
      <c r="B75" s="1185">
        <v>-0.57296985498445263</v>
      </c>
      <c r="C75" s="1186">
        <v>1</v>
      </c>
      <c r="D75" s="1187">
        <v>0.50214359363686023</v>
      </c>
      <c r="E75" s="1188">
        <v>-0.56601591474793589</v>
      </c>
      <c r="F75" s="1188">
        <v>0.46132990986104538</v>
      </c>
      <c r="G75" s="1189">
        <v>0.73787490918291132</v>
      </c>
      <c r="H75" s="1190">
        <v>-0.52794390370241406</v>
      </c>
      <c r="I75" s="1188">
        <v>0.26712535721643682</v>
      </c>
      <c r="J75" s="1189">
        <v>-1.048412816124291E-2</v>
      </c>
    </row>
    <row r="76" spans="1:26" ht="15" customHeight="1" x14ac:dyDescent="0.2">
      <c r="A76" s="1184">
        <v>-0.74670172625936115</v>
      </c>
      <c r="B76" s="1185">
        <v>-0.98442097934749251</v>
      </c>
      <c r="C76" s="1186">
        <v>1</v>
      </c>
      <c r="D76" s="1187">
        <v>1.0960643050862811</v>
      </c>
      <c r="E76" s="1188">
        <v>-0.56601591474793589</v>
      </c>
      <c r="F76" s="1188">
        <v>0.42870348716726686</v>
      </c>
      <c r="G76" s="1189">
        <v>0.73787490918291132</v>
      </c>
      <c r="H76" s="1190">
        <v>0.14927774756530943</v>
      </c>
      <c r="I76" s="1188">
        <v>0.69312456653436127</v>
      </c>
      <c r="J76" s="1189">
        <v>6.928237403381411E-3</v>
      </c>
    </row>
    <row r="77" spans="1:26" ht="15" customHeight="1" x14ac:dyDescent="0.2">
      <c r="A77" s="1184">
        <v>8.9031310025740343E-2</v>
      </c>
      <c r="B77" s="1185">
        <v>8.654850872732904E-2</v>
      </c>
      <c r="C77" s="1186">
        <v>1</v>
      </c>
      <c r="D77" s="1187">
        <v>-1.1311383628490472</v>
      </c>
      <c r="E77" s="1188">
        <v>-0.56601591474793589</v>
      </c>
      <c r="F77" s="1188">
        <v>0.83653377083949831</v>
      </c>
      <c r="G77" s="1189">
        <v>0.73787490918291132</v>
      </c>
      <c r="H77" s="1190">
        <v>0.20501105829510471</v>
      </c>
      <c r="I77" s="1188">
        <v>-0.90437246840785535</v>
      </c>
      <c r="J77" s="1189">
        <v>-0.21072633215442246</v>
      </c>
    </row>
    <row r="78" spans="1:26" ht="15" customHeight="1" x14ac:dyDescent="0.2">
      <c r="A78" s="1184">
        <v>-0.45173712521756065</v>
      </c>
      <c r="B78" s="1185">
        <v>-0.38606943858258425</v>
      </c>
      <c r="C78" s="1186">
        <v>1</v>
      </c>
      <c r="D78" s="1187">
        <v>-1.7537028881383143E-2</v>
      </c>
      <c r="E78" s="1188">
        <v>-0.56601591474793589</v>
      </c>
      <c r="F78" s="1188">
        <v>0.7875941367988305</v>
      </c>
      <c r="G78" s="1189">
        <v>0.73787490918291132</v>
      </c>
      <c r="H78" s="1190">
        <v>-0.70762190490516519</v>
      </c>
      <c r="I78" s="1188">
        <v>-0.10562395093674709</v>
      </c>
      <c r="J78" s="1189">
        <v>-0.18460778380748596</v>
      </c>
    </row>
    <row r="79" spans="1:26" ht="15" customHeight="1" x14ac:dyDescent="0.2">
      <c r="A79" s="1184">
        <v>-0.69754095941906114</v>
      </c>
      <c r="B79" s="1185">
        <v>-0.72515952575234544</v>
      </c>
      <c r="C79" s="1186">
        <v>1</v>
      </c>
      <c r="D79" s="1187">
        <v>0.57638368256803763</v>
      </c>
      <c r="E79" s="1188">
        <v>-0.56601591474793589</v>
      </c>
      <c r="F79" s="1188">
        <v>0.72641959424799585</v>
      </c>
      <c r="G79" s="1189">
        <v>0.73787490918291132</v>
      </c>
      <c r="H79" s="1190">
        <v>-0.47081726020438258</v>
      </c>
      <c r="I79" s="1188">
        <v>0.32037525838117725</v>
      </c>
      <c r="J79" s="1189">
        <v>-0.15195959837381542</v>
      </c>
    </row>
    <row r="80" spans="1:26" ht="15" customHeight="1" x14ac:dyDescent="0.2">
      <c r="A80" s="1184">
        <v>-0.59921942573846088</v>
      </c>
      <c r="B80" s="1185">
        <v>-0.48825469025908264</v>
      </c>
      <c r="C80" s="1186">
        <v>1</v>
      </c>
      <c r="D80" s="1187">
        <v>-9.1777117812560496E-2</v>
      </c>
      <c r="E80" s="1188">
        <v>-0.56601591474793589</v>
      </c>
      <c r="F80" s="1188">
        <v>1.154641392103839</v>
      </c>
      <c r="G80" s="1189">
        <v>0.73787490918291132</v>
      </c>
      <c r="H80" s="1190">
        <v>-0.70183183317934816</v>
      </c>
      <c r="I80" s="1188">
        <v>-0.15887385210148747</v>
      </c>
      <c r="J80" s="1189">
        <v>-0.38049689640950951</v>
      </c>
    </row>
    <row r="81" spans="1:10" ht="15" customHeight="1" x14ac:dyDescent="0.2">
      <c r="A81" s="1184">
        <v>-0.2550940578563603</v>
      </c>
      <c r="B81" s="1185">
        <v>-0.18832178423281981</v>
      </c>
      <c r="C81" s="1186">
        <v>1</v>
      </c>
      <c r="D81" s="1187">
        <v>-0.6856978292619812</v>
      </c>
      <c r="E81" s="1188">
        <v>-0.56601591474793589</v>
      </c>
      <c r="F81" s="1188">
        <v>1.1138583637366157</v>
      </c>
      <c r="G81" s="1189">
        <v>0.73787490918291132</v>
      </c>
      <c r="H81" s="1190">
        <v>-0.37238604086549293</v>
      </c>
      <c r="I81" s="1188">
        <v>-0.58487306141941175</v>
      </c>
      <c r="J81" s="1189">
        <v>-0.35873143945372915</v>
      </c>
    </row>
    <row r="82" spans="1:10" ht="15" customHeight="1" x14ac:dyDescent="0.2">
      <c r="A82" s="1184">
        <v>-9.2902236548598437E-3</v>
      </c>
      <c r="B82" s="1185">
        <v>-3.3885647036796099E-2</v>
      </c>
      <c r="C82" s="1186">
        <v>1</v>
      </c>
      <c r="D82" s="1187">
        <v>-1.1311383628490472</v>
      </c>
      <c r="E82" s="1188">
        <v>-0.56601591474793589</v>
      </c>
      <c r="F82" s="1188">
        <v>1.1464847864303942</v>
      </c>
      <c r="G82" s="1189">
        <v>0.73787490918291132</v>
      </c>
      <c r="H82" s="1190">
        <v>0.20501105829510471</v>
      </c>
      <c r="I82" s="1188">
        <v>-0.90437246840785535</v>
      </c>
      <c r="J82" s="1189">
        <v>-0.37614380501835343</v>
      </c>
    </row>
    <row r="83" spans="1:10" ht="15" customHeight="1" x14ac:dyDescent="0.2">
      <c r="A83" s="1184">
        <v>0.1873528437063405</v>
      </c>
      <c r="B83" s="1185">
        <v>4.4549100145078908E-2</v>
      </c>
      <c r="C83" s="1186">
        <v>1</v>
      </c>
      <c r="D83" s="1187">
        <v>-1.4280987185737577</v>
      </c>
      <c r="E83" s="1188">
        <v>-0.56601591474793589</v>
      </c>
      <c r="F83" s="1188">
        <v>1.1750329062874505</v>
      </c>
      <c r="G83" s="1189">
        <v>0.73787490918291132</v>
      </c>
      <c r="H83" s="1190">
        <v>0.74723424579512476</v>
      </c>
      <c r="I83" s="1188">
        <v>-1.1173720730668175</v>
      </c>
      <c r="J83" s="1189">
        <v>-0.39137962488739975</v>
      </c>
    </row>
    <row r="84" spans="1:10" ht="15" customHeight="1" x14ac:dyDescent="0.2">
      <c r="A84" s="1184">
        <v>-0.64838019257876101</v>
      </c>
      <c r="B84" s="1185">
        <v>-0.5922387775618978</v>
      </c>
      <c r="C84" s="1186">
        <v>1</v>
      </c>
      <c r="D84" s="1187">
        <v>0.1309431489809722</v>
      </c>
      <c r="E84" s="1188">
        <v>-0.56601591474793589</v>
      </c>
      <c r="F84" s="1188">
        <v>1.1016234552264488</v>
      </c>
      <c r="G84" s="1189">
        <v>0.73787490918291132</v>
      </c>
      <c r="H84" s="1190">
        <v>-0.69560828014785603</v>
      </c>
      <c r="I84" s="1188">
        <v>8.7585139273410313E-4</v>
      </c>
      <c r="J84" s="1189">
        <v>-0.35220180236699494</v>
      </c>
    </row>
    <row r="85" spans="1:10" ht="15" customHeight="1" x14ac:dyDescent="0.2">
      <c r="A85" s="1184">
        <v>-0.10761175733546002</v>
      </c>
      <c r="B85" s="1185">
        <v>0.68207635058642446</v>
      </c>
      <c r="C85" s="1186">
        <v>1</v>
      </c>
      <c r="D85" s="1187">
        <v>0.72486386043039297</v>
      </c>
      <c r="E85" s="1188">
        <v>1.7528234779294138</v>
      </c>
      <c r="F85" s="1188">
        <v>-0.89266663193076312</v>
      </c>
      <c r="G85" s="1189">
        <v>-1.3445720567333062</v>
      </c>
      <c r="H85" s="1190">
        <v>-0.33297020499937596</v>
      </c>
      <c r="I85" s="1188">
        <v>-1.0404555491621879</v>
      </c>
      <c r="J85" s="1189">
        <v>-1.2396005457998736</v>
      </c>
    </row>
    <row r="86" spans="1:10" ht="15" customHeight="1" x14ac:dyDescent="0.2">
      <c r="A86" s="1184">
        <v>1.023085879991442</v>
      </c>
      <c r="B86" s="1185">
        <v>1.3186975839957396</v>
      </c>
      <c r="C86" s="1186">
        <v>1</v>
      </c>
      <c r="D86" s="1187">
        <v>-1.7537028881383143E-2</v>
      </c>
      <c r="E86" s="1188">
        <v>1.7528234779294138</v>
      </c>
      <c r="F86" s="1188">
        <v>-0.88858832909404084</v>
      </c>
      <c r="G86" s="1189">
        <v>-1.3445720567333062</v>
      </c>
      <c r="H86" s="1190">
        <v>-0.70762190490516519</v>
      </c>
      <c r="I86" s="1188">
        <v>-7.0124016826914756E-2</v>
      </c>
      <c r="J86" s="1189">
        <v>-1.2328602752587279</v>
      </c>
    </row>
    <row r="87" spans="1:10" ht="15" customHeight="1" x14ac:dyDescent="0.2">
      <c r="A87" s="1184">
        <v>2.1046227504780441</v>
      </c>
      <c r="B87" s="1185">
        <v>2.4433949456222748</v>
      </c>
      <c r="C87" s="1186">
        <v>1</v>
      </c>
      <c r="D87" s="1187">
        <v>-1.8735392521608234</v>
      </c>
      <c r="E87" s="1188">
        <v>1.7528234779294138</v>
      </c>
      <c r="F87" s="1188">
        <v>-0.89674493476748551</v>
      </c>
      <c r="G87" s="1189">
        <v>-1.3445720567333062</v>
      </c>
      <c r="H87" s="1190">
        <v>1.7965067091345877</v>
      </c>
      <c r="I87" s="1188">
        <v>2.355704814011268</v>
      </c>
      <c r="J87" s="1189">
        <v>-1.2463408163410201</v>
      </c>
    </row>
    <row r="88" spans="1:10" ht="15" customHeight="1" x14ac:dyDescent="0.2">
      <c r="A88" s="1184">
        <v>1.5638543152347431</v>
      </c>
      <c r="B88" s="1185">
        <v>1.6227891796763632</v>
      </c>
      <c r="C88" s="1186">
        <v>1</v>
      </c>
      <c r="D88" s="1187">
        <v>-0.61145774033080391</v>
      </c>
      <c r="E88" s="1188">
        <v>1.7528234779294138</v>
      </c>
      <c r="F88" s="1188">
        <v>-0.68875149009464742</v>
      </c>
      <c r="G88" s="1189">
        <v>-1.3445720567333062</v>
      </c>
      <c r="H88" s="1190">
        <v>-0.44109282781515829</v>
      </c>
      <c r="I88" s="1188">
        <v>0.70614120904130351</v>
      </c>
      <c r="J88" s="1189">
        <v>-0.90258701874256719</v>
      </c>
    </row>
    <row r="89" spans="1:10" ht="15" customHeight="1" x14ac:dyDescent="0.2">
      <c r="A89" s="1184">
        <v>1.0722466468317422</v>
      </c>
      <c r="B89" s="1185">
        <v>1.0763173216502371</v>
      </c>
      <c r="C89" s="1186">
        <v>1</v>
      </c>
      <c r="D89" s="1187">
        <v>0.1309431489809722</v>
      </c>
      <c r="E89" s="1188">
        <v>1.7528234779294138</v>
      </c>
      <c r="F89" s="1188">
        <v>-0.6969080957680921</v>
      </c>
      <c r="G89" s="1189">
        <v>-1.3445720567333062</v>
      </c>
      <c r="H89" s="1190">
        <v>-0.69560828014785603</v>
      </c>
      <c r="I89" s="1188">
        <v>-0.26419032329396952</v>
      </c>
      <c r="J89" s="1189">
        <v>-0.91606755982485966</v>
      </c>
    </row>
    <row r="90" spans="1:10" ht="15" customHeight="1" x14ac:dyDescent="0.2">
      <c r="A90" s="1184">
        <v>-9.2902236548598437E-3</v>
      </c>
      <c r="B90" s="1185">
        <v>0.36142287639436044</v>
      </c>
      <c r="C90" s="1186">
        <v>1</v>
      </c>
      <c r="D90" s="1187">
        <v>0.9475841272239256</v>
      </c>
      <c r="E90" s="1188">
        <v>1.7528234779294138</v>
      </c>
      <c r="F90" s="1188">
        <v>-0.72545621562514828</v>
      </c>
      <c r="G90" s="1189">
        <v>-1.3445720567333062</v>
      </c>
      <c r="H90" s="1190">
        <v>-6.7215201669508326E-2</v>
      </c>
      <c r="I90" s="1188">
        <v>-1.3315550088627695</v>
      </c>
      <c r="J90" s="1189">
        <v>-0.96324945361288228</v>
      </c>
    </row>
    <row r="91" spans="1:10" ht="15" customHeight="1" x14ac:dyDescent="0.2">
      <c r="A91" s="1184">
        <v>2.547069652040745</v>
      </c>
      <c r="B91" s="1185">
        <v>2.2327484216693887</v>
      </c>
      <c r="C91" s="1186">
        <v>1</v>
      </c>
      <c r="D91" s="1187">
        <v>-2.0962595189543562</v>
      </c>
      <c r="E91" s="1188">
        <v>1.7528234779294138</v>
      </c>
      <c r="F91" s="1188">
        <v>-0.43181841138114158</v>
      </c>
      <c r="G91" s="1189">
        <v>-1.3445720567333062</v>
      </c>
      <c r="H91" s="1190">
        <v>2.4273148977445635</v>
      </c>
      <c r="I91" s="1188">
        <v>2.64680427371185</v>
      </c>
      <c r="J91" s="1189">
        <v>-0.47794997465036082</v>
      </c>
    </row>
    <row r="92" spans="1:10" ht="15" customHeight="1" x14ac:dyDescent="0.2">
      <c r="A92" s="1184">
        <v>1.8096581494362436</v>
      </c>
      <c r="B92" s="1185">
        <v>1.535544187933457</v>
      </c>
      <c r="C92" s="1186">
        <v>1</v>
      </c>
      <c r="D92" s="1187">
        <v>-0.6856978292619812</v>
      </c>
      <c r="E92" s="1188">
        <v>1.7528234779294138</v>
      </c>
      <c r="F92" s="1188">
        <v>-0.47667974258508705</v>
      </c>
      <c r="G92" s="1189">
        <v>-1.3445720567333062</v>
      </c>
      <c r="H92" s="1190">
        <v>-0.37238604086549293</v>
      </c>
      <c r="I92" s="1188">
        <v>0.80317436227483041</v>
      </c>
      <c r="J92" s="1189">
        <v>-0.55209295060296826</v>
      </c>
    </row>
    <row r="93" spans="1:10" ht="15" customHeight="1" x14ac:dyDescent="0.2">
      <c r="A93" s="1184">
        <v>0.53147821158844111</v>
      </c>
      <c r="B93" s="1185">
        <v>0.54850219263997824</v>
      </c>
      <c r="C93" s="1186">
        <v>1</v>
      </c>
      <c r="D93" s="1187">
        <v>0.57638368256803763</v>
      </c>
      <c r="E93" s="1188">
        <v>1.7528234779294138</v>
      </c>
      <c r="F93" s="1188">
        <v>-0.47260143974836472</v>
      </c>
      <c r="G93" s="1189">
        <v>-1.3445720567333062</v>
      </c>
      <c r="H93" s="1190">
        <v>-0.47081726020438258</v>
      </c>
      <c r="I93" s="1188">
        <v>-0.84638924269513316</v>
      </c>
      <c r="J93" s="1189">
        <v>-0.54535268006182214</v>
      </c>
    </row>
    <row r="94" spans="1:10" ht="15" customHeight="1" x14ac:dyDescent="0.2">
      <c r="A94" s="1184">
        <v>2.7928734862422453</v>
      </c>
      <c r="B94" s="1185">
        <v>3.5499571201087932</v>
      </c>
      <c r="C94" s="1186">
        <v>1</v>
      </c>
      <c r="D94" s="1187">
        <v>-3.2098608529220201</v>
      </c>
      <c r="E94" s="1188">
        <v>1.7528234779294138</v>
      </c>
      <c r="F94" s="1188">
        <v>-2.0223565177028444</v>
      </c>
      <c r="G94" s="1189">
        <v>-1.3445720567333062</v>
      </c>
      <c r="H94" s="1190">
        <v>6.6430754101968876</v>
      </c>
      <c r="I94" s="1188">
        <v>4.1023015722147598</v>
      </c>
      <c r="J94" s="1189">
        <v>-3.1066554856973529</v>
      </c>
    </row>
    <row r="95" spans="1:10" ht="15" customHeight="1" x14ac:dyDescent="0.2">
      <c r="A95" s="1184">
        <v>2.9403557867631456</v>
      </c>
      <c r="B95" s="1185">
        <v>3.3213202098049646</v>
      </c>
      <c r="C95" s="1186">
        <v>1</v>
      </c>
      <c r="D95" s="1187">
        <v>-2.0962595189543562</v>
      </c>
      <c r="E95" s="1188">
        <v>1.7528234779294138</v>
      </c>
      <c r="F95" s="1188">
        <v>-2.1243140886209022</v>
      </c>
      <c r="G95" s="1189">
        <v>-1.3445720567333062</v>
      </c>
      <c r="H95" s="1190">
        <v>2.4273148977445635</v>
      </c>
      <c r="I95" s="1188">
        <v>2.64680427371185</v>
      </c>
      <c r="J95" s="1189">
        <v>-3.275162249226006</v>
      </c>
    </row>
    <row r="96" spans="1:10" ht="15" customHeight="1" x14ac:dyDescent="0.2">
      <c r="A96" s="1184">
        <v>2.8911950199228453</v>
      </c>
      <c r="B96" s="1185">
        <v>2.3888474756732219</v>
      </c>
      <c r="C96" s="1186">
        <v>1</v>
      </c>
      <c r="D96" s="1187">
        <v>-0.24025729567491583</v>
      </c>
      <c r="E96" s="1188">
        <v>1.7528234779294138</v>
      </c>
      <c r="F96" s="1188">
        <v>-2.2874462020897948</v>
      </c>
      <c r="G96" s="1189">
        <v>-1.3445720567333062</v>
      </c>
      <c r="H96" s="1190">
        <v>-0.66665792151877079</v>
      </c>
      <c r="I96" s="1188">
        <v>0.22097544287366697</v>
      </c>
      <c r="J96" s="1189">
        <v>-3.5447730708718517</v>
      </c>
    </row>
    <row r="97" spans="1:10" ht="15" customHeight="1" x14ac:dyDescent="0.2">
      <c r="A97" s="1184">
        <v>2.8911950199228453</v>
      </c>
      <c r="B97" s="1185">
        <v>2.322636379319059</v>
      </c>
      <c r="C97" s="1186">
        <v>1</v>
      </c>
      <c r="D97" s="1187">
        <v>-0.16601720674373849</v>
      </c>
      <c r="E97" s="1188">
        <v>1.7528234779294138</v>
      </c>
      <c r="F97" s="1188">
        <v>-2.2711329907429056</v>
      </c>
      <c r="G97" s="1189">
        <v>-1.3445720567333062</v>
      </c>
      <c r="H97" s="1190">
        <v>-0.68817717205054985</v>
      </c>
      <c r="I97" s="1188">
        <v>0.12394228964014004</v>
      </c>
      <c r="J97" s="1189">
        <v>-3.5178119887072672</v>
      </c>
    </row>
    <row r="98" spans="1:10" ht="15" customHeight="1" x14ac:dyDescent="0.2">
      <c r="A98" s="1184">
        <v>2.7928734862422453</v>
      </c>
      <c r="B98" s="1185">
        <v>2.3119712946518436</v>
      </c>
      <c r="C98" s="1186">
        <v>1</v>
      </c>
      <c r="D98" s="1187">
        <v>-0.6856978292619812</v>
      </c>
      <c r="E98" s="1188">
        <v>1.7528234779294138</v>
      </c>
      <c r="F98" s="1188">
        <v>-1.6838573822548923</v>
      </c>
      <c r="G98" s="1189">
        <v>-1.3445720567333062</v>
      </c>
      <c r="H98" s="1190">
        <v>-0.37238604086549293</v>
      </c>
      <c r="I98" s="1188">
        <v>0.80317436227483041</v>
      </c>
      <c r="J98" s="1189">
        <v>-2.5472130307822236</v>
      </c>
    </row>
    <row r="99" spans="1:10" ht="15" customHeight="1" x14ac:dyDescent="0.2">
      <c r="A99" s="1184">
        <v>2.8911950199228453</v>
      </c>
      <c r="B99" s="1185">
        <v>2.3683573138864489</v>
      </c>
      <c r="C99" s="1186">
        <v>1</v>
      </c>
      <c r="D99" s="1187">
        <v>-1.2053784517802246</v>
      </c>
      <c r="E99" s="1188">
        <v>1.7528234779294138</v>
      </c>
      <c r="F99" s="1188">
        <v>-1.2841837042561055</v>
      </c>
      <c r="G99" s="1189">
        <v>-1.3445720567333062</v>
      </c>
      <c r="H99" s="1190">
        <v>0.32876997106563771</v>
      </c>
      <c r="I99" s="1188">
        <v>1.4824064349095218</v>
      </c>
      <c r="J99" s="1189">
        <v>-1.8866665177499029</v>
      </c>
    </row>
    <row r="100" spans="1:10" ht="15" customHeight="1" x14ac:dyDescent="0.2">
      <c r="A100" s="1184">
        <v>-0.59921942573846088</v>
      </c>
      <c r="B100" s="1185">
        <v>0.35159062289177839</v>
      </c>
      <c r="C100" s="1186">
        <v>1</v>
      </c>
      <c r="D100" s="1187">
        <v>1.3187845718798137</v>
      </c>
      <c r="E100" s="1188">
        <v>1.7528234779294138</v>
      </c>
      <c r="F100" s="1188">
        <v>-1.2964186127662722</v>
      </c>
      <c r="G100" s="1189">
        <v>-1.3445720567333062</v>
      </c>
      <c r="H100" s="1190">
        <v>0.53300159193989338</v>
      </c>
      <c r="I100" s="1188">
        <v>-1.8167207750304062</v>
      </c>
      <c r="J100" s="1189">
        <v>-1.9068873293733408</v>
      </c>
    </row>
    <row r="101" spans="1:10" ht="15" customHeight="1" x14ac:dyDescent="0.2">
      <c r="A101" s="1184">
        <v>1.6621758489153433</v>
      </c>
      <c r="B101" s="1185">
        <v>1.5179900451647614</v>
      </c>
      <c r="C101" s="1186">
        <v>1</v>
      </c>
      <c r="D101" s="1187">
        <v>-0.24025729567491583</v>
      </c>
      <c r="E101" s="1188">
        <v>1.7528234779294138</v>
      </c>
      <c r="F101" s="1188">
        <v>-0.93344966029798637</v>
      </c>
      <c r="G101" s="1189">
        <v>-1.3445720567333062</v>
      </c>
      <c r="H101" s="1190">
        <v>-0.66665792151877079</v>
      </c>
      <c r="I101" s="1188">
        <v>0.22097544287366697</v>
      </c>
      <c r="J101" s="1189">
        <v>-1.3070032512113352</v>
      </c>
    </row>
    <row r="102" spans="1:10" ht="15" customHeight="1" x14ac:dyDescent="0.2">
      <c r="A102" s="1184">
        <v>1.9079796831168436</v>
      </c>
      <c r="B102" s="1185">
        <v>1.4766308054847557</v>
      </c>
      <c r="C102" s="1186">
        <v>1</v>
      </c>
      <c r="D102" s="1187">
        <v>-0.38873747353727117</v>
      </c>
      <c r="E102" s="1188">
        <v>1.7528234779294138</v>
      </c>
      <c r="F102" s="1188">
        <v>-0.70098639860481438</v>
      </c>
      <c r="G102" s="1189">
        <v>-1.3445720567333062</v>
      </c>
      <c r="H102" s="1190">
        <v>-0.60002565224626903</v>
      </c>
      <c r="I102" s="1188">
        <v>0.41504174934072169</v>
      </c>
      <c r="J102" s="1189">
        <v>-0.92280783036600555</v>
      </c>
    </row>
    <row r="103" spans="1:10" ht="15" customHeight="1" x14ac:dyDescent="0.2">
      <c r="A103" s="1184">
        <v>0.62979974526904137</v>
      </c>
      <c r="B103" s="1185">
        <v>0.43092983328117707</v>
      </c>
      <c r="C103" s="1186">
        <v>1</v>
      </c>
      <c r="D103" s="1187">
        <v>0.87334403829274831</v>
      </c>
      <c r="E103" s="1188">
        <v>1.7528234779294138</v>
      </c>
      <c r="F103" s="1188">
        <v>-0.721377912788426</v>
      </c>
      <c r="G103" s="1189">
        <v>-1.3445720567333062</v>
      </c>
      <c r="H103" s="1190">
        <v>-0.16366479218244492</v>
      </c>
      <c r="I103" s="1188">
        <v>-1.2345218556292425</v>
      </c>
      <c r="J103" s="1189">
        <v>-0.95650918307173616</v>
      </c>
    </row>
    <row r="104" spans="1:10" ht="15" customHeight="1" x14ac:dyDescent="0.2">
      <c r="A104" s="1184">
        <v>1.514693548394443</v>
      </c>
      <c r="B104" s="1185">
        <v>1.0642603226724845</v>
      </c>
      <c r="C104" s="1186">
        <v>1</v>
      </c>
      <c r="D104" s="1187">
        <v>-1.7537028881383143E-2</v>
      </c>
      <c r="E104" s="1188">
        <v>1.7528234779294138</v>
      </c>
      <c r="F104" s="1188">
        <v>-0.49299295393197634</v>
      </c>
      <c r="G104" s="1189">
        <v>-1.3445720567333062</v>
      </c>
      <c r="H104" s="1190">
        <v>-0.70762190490516519</v>
      </c>
      <c r="I104" s="1188">
        <v>-7.0124016826914756E-2</v>
      </c>
      <c r="J104" s="1189">
        <v>-0.57905403276755285</v>
      </c>
    </row>
    <row r="105" spans="1:10" ht="15" customHeight="1" x14ac:dyDescent="0.2">
      <c r="A105" s="1184">
        <v>1.2688897141929425</v>
      </c>
      <c r="B105" s="1185">
        <v>0.63254645639216067</v>
      </c>
      <c r="C105" s="1186">
        <v>1</v>
      </c>
      <c r="D105" s="1187">
        <v>-0.46297756246844851</v>
      </c>
      <c r="E105" s="1188">
        <v>-0.56601591474793589</v>
      </c>
      <c r="F105" s="1188">
        <v>-2.1610188141514031</v>
      </c>
      <c r="G105" s="1189">
        <v>-1.3445720567333062</v>
      </c>
      <c r="H105" s="1190">
        <v>-0.55491263350554665</v>
      </c>
      <c r="I105" s="1188">
        <v>0.5120749025742487</v>
      </c>
      <c r="J105" s="1189">
        <v>1.3890347540954362</v>
      </c>
    </row>
    <row r="106" spans="1:10" ht="15" customHeight="1" x14ac:dyDescent="0.2">
      <c r="A106" s="1184">
        <v>-1.0416663273011617</v>
      </c>
      <c r="B106" s="1185">
        <v>-0.64466114109299444</v>
      </c>
      <c r="C106" s="1186">
        <v>1</v>
      </c>
      <c r="D106" s="1187">
        <v>1.0218242161551037</v>
      </c>
      <c r="E106" s="1188">
        <v>-0.56601591474793589</v>
      </c>
      <c r="F106" s="1188">
        <v>-2.1080008772740131</v>
      </c>
      <c r="G106" s="1189">
        <v>-1.3445720567333062</v>
      </c>
      <c r="H106" s="1190">
        <v>3.7098978246410501E-2</v>
      </c>
      <c r="I106" s="1188">
        <v>-1.4285881620962975</v>
      </c>
      <c r="J106" s="1189">
        <v>1.3607396600529216</v>
      </c>
    </row>
    <row r="107" spans="1:10" ht="15" customHeight="1" x14ac:dyDescent="0.2">
      <c r="A107" s="1184">
        <v>0.43315667790784096</v>
      </c>
      <c r="B107" s="1185">
        <v>0.37687481858298266</v>
      </c>
      <c r="C107" s="1186">
        <v>1</v>
      </c>
      <c r="D107" s="1187">
        <v>-0.24025729567491583</v>
      </c>
      <c r="E107" s="1188">
        <v>-0.56601591474793589</v>
      </c>
      <c r="F107" s="1188">
        <v>-1.9163206439480642</v>
      </c>
      <c r="G107" s="1189">
        <v>-1.3445720567333062</v>
      </c>
      <c r="H107" s="1190">
        <v>-0.66665792151877079</v>
      </c>
      <c r="I107" s="1188">
        <v>0.22097544287366697</v>
      </c>
      <c r="J107" s="1189">
        <v>1.2584420123607538</v>
      </c>
    </row>
    <row r="108" spans="1:10" ht="15" customHeight="1" x14ac:dyDescent="0.2">
      <c r="A108" s="1184">
        <v>-1.2874701615026622</v>
      </c>
      <c r="B108" s="1185">
        <v>-1.3474891208127053</v>
      </c>
      <c r="C108" s="1186">
        <v>1</v>
      </c>
      <c r="D108" s="1187">
        <v>1.6157449276045244</v>
      </c>
      <c r="E108" s="1188">
        <v>-0.56601591474793589</v>
      </c>
      <c r="F108" s="1188">
        <v>-1.9081640382746197</v>
      </c>
      <c r="G108" s="1189">
        <v>-1.3445720567333062</v>
      </c>
      <c r="H108" s="1190">
        <v>1.1547376360810746</v>
      </c>
      <c r="I108" s="1188">
        <v>-2.204853387964516</v>
      </c>
      <c r="J108" s="1189">
        <v>1.2540889209695976</v>
      </c>
    </row>
    <row r="109" spans="1:10" ht="15" customHeight="1" x14ac:dyDescent="0.2">
      <c r="A109" s="1184">
        <v>-1.3366309283429623</v>
      </c>
      <c r="B109" s="1185">
        <v>-0.72864811813902908</v>
      </c>
      <c r="C109" s="1186">
        <v>1</v>
      </c>
      <c r="D109" s="1187">
        <v>1.0218242161551037</v>
      </c>
      <c r="E109" s="1188">
        <v>-0.56601591474793589</v>
      </c>
      <c r="F109" s="1188">
        <v>-1.8918508269277303</v>
      </c>
      <c r="G109" s="1189">
        <v>-1.3445720567333062</v>
      </c>
      <c r="H109" s="1190">
        <v>3.7098978246410501E-2</v>
      </c>
      <c r="I109" s="1188">
        <v>-1.4285881620962975</v>
      </c>
      <c r="J109" s="1189">
        <v>1.2453827381872857</v>
      </c>
    </row>
    <row r="110" spans="1:10" ht="15" customHeight="1" x14ac:dyDescent="0.2">
      <c r="A110" s="1184">
        <v>0.62979974526904137</v>
      </c>
      <c r="B110" s="1185">
        <v>0.65329656852034212</v>
      </c>
      <c r="C110" s="1186">
        <v>1</v>
      </c>
      <c r="D110" s="1187">
        <v>-0.83417800712433654</v>
      </c>
      <c r="E110" s="1188">
        <v>-0.56601591474793589</v>
      </c>
      <c r="F110" s="1188">
        <v>-1.5818998113368343</v>
      </c>
      <c r="G110" s="1189">
        <v>-1.3445720567333062</v>
      </c>
      <c r="H110" s="1190">
        <v>-0.2113786987572181</v>
      </c>
      <c r="I110" s="1188">
        <v>0.99724066874188522</v>
      </c>
      <c r="J110" s="1189">
        <v>1.0799652653233547</v>
      </c>
    </row>
    <row r="111" spans="1:10" ht="15" customHeight="1" x14ac:dyDescent="0.2">
      <c r="A111" s="1184">
        <v>-0.79586249309966128</v>
      </c>
      <c r="B111" s="1185">
        <v>-0.46348229415552444</v>
      </c>
      <c r="C111" s="1186">
        <v>1</v>
      </c>
      <c r="D111" s="1187">
        <v>0.42790350470568289</v>
      </c>
      <c r="E111" s="1188">
        <v>-0.56601591474793589</v>
      </c>
      <c r="F111" s="1188">
        <v>-1.1455214078075466</v>
      </c>
      <c r="G111" s="1189">
        <v>-1.3445720567333062</v>
      </c>
      <c r="H111" s="1190">
        <v>-0.57720595779746453</v>
      </c>
      <c r="I111" s="1188">
        <v>-0.65232293622807913</v>
      </c>
      <c r="J111" s="1189">
        <v>0.84707487589650432</v>
      </c>
    </row>
    <row r="112" spans="1:10" ht="15" customHeight="1" x14ac:dyDescent="0.2">
      <c r="A112" s="1184">
        <v>0.72812127894964151</v>
      </c>
      <c r="B112" s="1185">
        <v>0.80722175430397303</v>
      </c>
      <c r="C112" s="1186">
        <v>1</v>
      </c>
      <c r="D112" s="1187">
        <v>-1.3538586296425801</v>
      </c>
      <c r="E112" s="1188">
        <v>-0.56601591474793589</v>
      </c>
      <c r="F112" s="1188">
        <v>-1.2107742531951038</v>
      </c>
      <c r="G112" s="1189">
        <v>-1.3445720567333062</v>
      </c>
      <c r="H112" s="1190">
        <v>0.59988156481564803</v>
      </c>
      <c r="I112" s="1188">
        <v>1.6764727413765768</v>
      </c>
      <c r="J112" s="1189">
        <v>0.8818996070257531</v>
      </c>
    </row>
    <row r="113" spans="1:10" ht="15" customHeight="1" x14ac:dyDescent="0.2">
      <c r="A113" s="1184">
        <v>-9.2902236548598437E-3</v>
      </c>
      <c r="B113" s="1185">
        <v>0.18270796660325633</v>
      </c>
      <c r="C113" s="1186">
        <v>1</v>
      </c>
      <c r="D113" s="1187">
        <v>-0.31449738460609317</v>
      </c>
      <c r="E113" s="1188">
        <v>-0.56601591474793589</v>
      </c>
      <c r="F113" s="1188">
        <v>-1.2760270985826607</v>
      </c>
      <c r="G113" s="1189">
        <v>-1.3445720567333062</v>
      </c>
      <c r="H113" s="1190">
        <v>-0.63727408158401055</v>
      </c>
      <c r="I113" s="1188">
        <v>0.3180085961071939</v>
      </c>
      <c r="J113" s="1189">
        <v>0.91672433815500165</v>
      </c>
    </row>
    <row r="114" spans="1:10" ht="15" customHeight="1" x14ac:dyDescent="0.2">
      <c r="A114" s="1184">
        <v>-1.4349524620235625</v>
      </c>
      <c r="B114" s="1185">
        <v>-1.3821566534993834</v>
      </c>
      <c r="C114" s="1186">
        <v>1</v>
      </c>
      <c r="D114" s="1187">
        <v>1.3930246608109917</v>
      </c>
      <c r="E114" s="1188">
        <v>-0.56601591474793589</v>
      </c>
      <c r="F114" s="1188">
        <v>-1.1944610418482144</v>
      </c>
      <c r="G114" s="1189">
        <v>-1.3445720567333062</v>
      </c>
      <c r="H114" s="1190">
        <v>0.67663871887071769</v>
      </c>
      <c r="I114" s="1188">
        <v>-1.9137539282639342</v>
      </c>
      <c r="J114" s="1189">
        <v>0.87319342424344093</v>
      </c>
    </row>
    <row r="115" spans="1:10" ht="15" customHeight="1" x14ac:dyDescent="0.2">
      <c r="A115" s="1184">
        <v>-0.2550940578563603</v>
      </c>
      <c r="B115" s="1185">
        <v>-0.11597532323652214</v>
      </c>
      <c r="C115" s="1186">
        <v>1</v>
      </c>
      <c r="D115" s="1187">
        <v>-9.1777117812560496E-2</v>
      </c>
      <c r="E115" s="1188">
        <v>-0.56601591474793589</v>
      </c>
      <c r="F115" s="1188">
        <v>-0.93752796313470865</v>
      </c>
      <c r="G115" s="1189">
        <v>-1.3445720567333062</v>
      </c>
      <c r="H115" s="1190">
        <v>-0.70183183317934816</v>
      </c>
      <c r="I115" s="1188">
        <v>2.6909136406612206E-2</v>
      </c>
      <c r="J115" s="1189">
        <v>0.73607104542202439</v>
      </c>
    </row>
    <row r="116" spans="1:10" ht="15" customHeight="1" x14ac:dyDescent="0.2">
      <c r="A116" s="1184">
        <v>1.023085879991442</v>
      </c>
      <c r="B116" s="1185">
        <v>1.024600801391512</v>
      </c>
      <c r="C116" s="1186">
        <v>1</v>
      </c>
      <c r="D116" s="1187">
        <v>-2.0220194300231782</v>
      </c>
      <c r="E116" s="1188">
        <v>-0.56601591474793589</v>
      </c>
      <c r="F116" s="1188">
        <v>-0.98646759717537646</v>
      </c>
      <c r="G116" s="1189">
        <v>-1.3445720567333062</v>
      </c>
      <c r="H116" s="1190">
        <v>2.2091809121382555</v>
      </c>
      <c r="I116" s="1188">
        <v>2.5497711204783222</v>
      </c>
      <c r="J116" s="1189">
        <v>0.762189593768961</v>
      </c>
    </row>
    <row r="117" spans="1:10" ht="15" customHeight="1" x14ac:dyDescent="0.2">
      <c r="A117" s="1184">
        <v>-1.3366309283429623</v>
      </c>
      <c r="B117" s="1185">
        <v>-0.89099178050869354</v>
      </c>
      <c r="C117" s="1186">
        <v>1</v>
      </c>
      <c r="D117" s="1187">
        <v>0.79910394936157092</v>
      </c>
      <c r="E117" s="1188">
        <v>-0.56601591474793589</v>
      </c>
      <c r="F117" s="1188">
        <v>-0.91713644895109703</v>
      </c>
      <c r="G117" s="1189">
        <v>-1.3445720567333062</v>
      </c>
      <c r="H117" s="1190">
        <v>-0.25224979329240071</v>
      </c>
      <c r="I117" s="1188">
        <v>-1.1374887023957154</v>
      </c>
      <c r="J117" s="1189">
        <v>0.72518831694413421</v>
      </c>
    </row>
    <row r="118" spans="1:10" ht="15" customHeight="1" x14ac:dyDescent="0.2">
      <c r="A118" s="1184">
        <v>-9.2902236548598437E-3</v>
      </c>
      <c r="B118" s="1185">
        <v>5.0833433508704479E-2</v>
      </c>
      <c r="C118" s="1186">
        <v>1</v>
      </c>
      <c r="D118" s="1187">
        <v>-0.38873747353727117</v>
      </c>
      <c r="E118" s="1188">
        <v>-0.56601591474793589</v>
      </c>
      <c r="F118" s="1188">
        <v>-0.79886566668614989</v>
      </c>
      <c r="G118" s="1189">
        <v>-1.3445720567333062</v>
      </c>
      <c r="H118" s="1190">
        <v>-0.60002565224626903</v>
      </c>
      <c r="I118" s="1188">
        <v>0.41504174934072169</v>
      </c>
      <c r="J118" s="1189">
        <v>0.66206849177237115</v>
      </c>
    </row>
    <row r="119" spans="1:10" ht="15" customHeight="1" x14ac:dyDescent="0.2">
      <c r="A119" s="1184">
        <v>-0.94334479362056156</v>
      </c>
      <c r="B119" s="1185">
        <v>-0.80449591022344114</v>
      </c>
      <c r="C119" s="1186">
        <v>1</v>
      </c>
      <c r="D119" s="1187">
        <v>0.65062377149921558</v>
      </c>
      <c r="E119" s="1188">
        <v>-0.56601591474793589</v>
      </c>
      <c r="F119" s="1188">
        <v>-0.78255245533926066</v>
      </c>
      <c r="G119" s="1189">
        <v>-1.3445720567333062</v>
      </c>
      <c r="H119" s="1190">
        <v>-0.40582602730336959</v>
      </c>
      <c r="I119" s="1188">
        <v>-0.94342239592866084</v>
      </c>
      <c r="J119" s="1189">
        <v>0.65336230899005898</v>
      </c>
    </row>
    <row r="120" spans="1:10" ht="15" customHeight="1" x14ac:dyDescent="0.2">
      <c r="A120" s="1184">
        <v>0.48231744474814103</v>
      </c>
      <c r="B120" s="1185">
        <v>0.53230453843205627</v>
      </c>
      <c r="C120" s="1186">
        <v>1</v>
      </c>
      <c r="D120" s="1187">
        <v>-1.1311383628490472</v>
      </c>
      <c r="E120" s="1188">
        <v>-0.56601591474793589</v>
      </c>
      <c r="F120" s="1188">
        <v>-0.81517887803303923</v>
      </c>
      <c r="G120" s="1189">
        <v>-1.3445720567333062</v>
      </c>
      <c r="H120" s="1190">
        <v>0.20501105829510471</v>
      </c>
      <c r="I120" s="1188">
        <v>1.3853732816759947</v>
      </c>
      <c r="J120" s="1189">
        <v>0.67077467455468331</v>
      </c>
    </row>
    <row r="121" spans="1:10" ht="15" customHeight="1" x14ac:dyDescent="0.2">
      <c r="A121" s="1184">
        <v>0.13819207686604043</v>
      </c>
      <c r="B121" s="1185">
        <v>0.27931682167384819</v>
      </c>
      <c r="C121" s="1186">
        <v>1</v>
      </c>
      <c r="D121" s="1187">
        <v>-0.83417800712433654</v>
      </c>
      <c r="E121" s="1188">
        <v>-0.56601591474793589</v>
      </c>
      <c r="F121" s="1188">
        <v>-0.6194203418703681</v>
      </c>
      <c r="G121" s="1189">
        <v>-1.3445720567333062</v>
      </c>
      <c r="H121" s="1190">
        <v>-0.2113786987572181</v>
      </c>
      <c r="I121" s="1188">
        <v>0.99724066874188522</v>
      </c>
      <c r="J121" s="1189">
        <v>0.56630048116693743</v>
      </c>
    </row>
    <row r="122" spans="1:10" ht="15" customHeight="1" x14ac:dyDescent="0.2">
      <c r="A122" s="1184">
        <v>-0.40257635837726058</v>
      </c>
      <c r="B122" s="1185">
        <v>-0.55907048670505377</v>
      </c>
      <c r="C122" s="1186">
        <v>1</v>
      </c>
      <c r="D122" s="1187">
        <v>0.27942332684332755</v>
      </c>
      <c r="E122" s="1188">
        <v>-0.56601591474793589</v>
      </c>
      <c r="F122" s="1188">
        <v>-0.57048070782970028</v>
      </c>
      <c r="G122" s="1189">
        <v>-1.3445720567333062</v>
      </c>
      <c r="H122" s="1190">
        <v>-0.65213629777862248</v>
      </c>
      <c r="I122" s="1188">
        <v>-0.45825662976102433</v>
      </c>
      <c r="J122" s="1189">
        <v>0.54018193282000093</v>
      </c>
    </row>
    <row r="123" spans="1:10" ht="15" customHeight="1" x14ac:dyDescent="0.2">
      <c r="A123" s="1184">
        <v>-1.3366309283429623</v>
      </c>
      <c r="B123" s="1185">
        <v>-1.3965623572137944</v>
      </c>
      <c r="C123" s="1186">
        <v>1</v>
      </c>
      <c r="D123" s="1187">
        <v>1.1703043940174591</v>
      </c>
      <c r="E123" s="1188">
        <v>-0.56601591474793589</v>
      </c>
      <c r="F123" s="1188">
        <v>-0.55824579931953333</v>
      </c>
      <c r="G123" s="1189">
        <v>-1.3445720567333062</v>
      </c>
      <c r="H123" s="1190">
        <v>0.26932110628719053</v>
      </c>
      <c r="I123" s="1188">
        <v>-1.6226544685633524</v>
      </c>
      <c r="J123" s="1189">
        <v>0.53365229573326689</v>
      </c>
    </row>
    <row r="124" spans="1:10" ht="15" customHeight="1" x14ac:dyDescent="0.2">
      <c r="A124" s="1184">
        <v>3.9870543185440248E-2</v>
      </c>
      <c r="B124" s="1185">
        <v>-7.0227566937005256E-3</v>
      </c>
      <c r="C124" s="1186">
        <v>1</v>
      </c>
      <c r="D124" s="1187">
        <v>-0.53721765139962652</v>
      </c>
      <c r="E124" s="1188">
        <v>-0.56601591474793589</v>
      </c>
      <c r="F124" s="1188">
        <v>-0.38287877734047382</v>
      </c>
      <c r="G124" s="1189">
        <v>-1.3445720567333062</v>
      </c>
      <c r="H124" s="1190">
        <v>-0.50193502536184287</v>
      </c>
      <c r="I124" s="1188">
        <v>0.60910805580777649</v>
      </c>
      <c r="J124" s="1189">
        <v>0.44006083082341119</v>
      </c>
    </row>
    <row r="125" spans="1:10" ht="15" customHeight="1" x14ac:dyDescent="0.2">
      <c r="A125" s="1184">
        <v>-0.40257635837726058</v>
      </c>
      <c r="B125" s="1185">
        <v>-0.57918949233904693</v>
      </c>
      <c r="C125" s="1186">
        <v>1</v>
      </c>
      <c r="D125" s="1187">
        <v>0.20518323791214954</v>
      </c>
      <c r="E125" s="1188">
        <v>-0.56601591474793589</v>
      </c>
      <c r="F125" s="1188">
        <v>-0.35840896032013991</v>
      </c>
      <c r="G125" s="1189">
        <v>-1.3445720567333062</v>
      </c>
      <c r="H125" s="1190">
        <v>-0.67780458366472984</v>
      </c>
      <c r="I125" s="1188">
        <v>-0.36122347652749648</v>
      </c>
      <c r="J125" s="1189">
        <v>0.42700155664994294</v>
      </c>
    </row>
    <row r="126" spans="1:10" ht="15" customHeight="1" x14ac:dyDescent="0.2">
      <c r="A126" s="1184">
        <v>-0.84502325993996141</v>
      </c>
      <c r="B126" s="1185">
        <v>-1.1775414754798299</v>
      </c>
      <c r="C126" s="1186">
        <v>1</v>
      </c>
      <c r="D126" s="1187">
        <v>0.87334403829274831</v>
      </c>
      <c r="E126" s="1188">
        <v>-0.56601591474793589</v>
      </c>
      <c r="F126" s="1188">
        <v>-0.36248726315686225</v>
      </c>
      <c r="G126" s="1189">
        <v>-1.3445720567333062</v>
      </c>
      <c r="H126" s="1190">
        <v>-0.16366479218244492</v>
      </c>
      <c r="I126" s="1188">
        <v>-1.2345218556292425</v>
      </c>
      <c r="J126" s="1189">
        <v>0.42917810234552095</v>
      </c>
    </row>
    <row r="127" spans="1:10" ht="15" customHeight="1" x14ac:dyDescent="0.2">
      <c r="A127" s="1184">
        <v>-0.2059332910160602</v>
      </c>
      <c r="B127" s="1185">
        <v>-0.21979565924000399</v>
      </c>
      <c r="C127" s="1186">
        <v>1</v>
      </c>
      <c r="D127" s="1187">
        <v>-0.31449738460609317</v>
      </c>
      <c r="E127" s="1188">
        <v>-0.56601591474793589</v>
      </c>
      <c r="F127" s="1188">
        <v>-0.2401381780551928</v>
      </c>
      <c r="G127" s="1189">
        <v>-1.3445720567333062</v>
      </c>
      <c r="H127" s="1190">
        <v>-0.63727408158401055</v>
      </c>
      <c r="I127" s="1188">
        <v>0.3180085961071939</v>
      </c>
      <c r="J127" s="1189">
        <v>0.36388173147817982</v>
      </c>
    </row>
    <row r="128" spans="1:10" ht="15" customHeight="1" x14ac:dyDescent="0.2">
      <c r="A128" s="1184">
        <v>-0.74670172625936115</v>
      </c>
      <c r="B128" s="1185">
        <v>-1.1477066914795919</v>
      </c>
      <c r="C128" s="1186">
        <v>1</v>
      </c>
      <c r="D128" s="1187">
        <v>0.79910394936157092</v>
      </c>
      <c r="E128" s="1188">
        <v>-0.56601591474793589</v>
      </c>
      <c r="F128" s="1188">
        <v>-0.25645138940208206</v>
      </c>
      <c r="G128" s="1189">
        <v>-1.3445720567333062</v>
      </c>
      <c r="H128" s="1190">
        <v>-0.25224979329240071</v>
      </c>
      <c r="I128" s="1188">
        <v>-1.1374887023957154</v>
      </c>
      <c r="J128" s="1189">
        <v>0.37258791426049198</v>
      </c>
    </row>
    <row r="129" spans="1:10" ht="15" customHeight="1" x14ac:dyDescent="0.2">
      <c r="A129" s="1248">
        <v>-0.99250556046086169</v>
      </c>
      <c r="B129" s="1249">
        <v>-1.7894142591754381</v>
      </c>
      <c r="C129" s="1250">
        <v>1</v>
      </c>
      <c r="D129" s="1251">
        <v>1.3930246608109917</v>
      </c>
      <c r="E129" s="1252">
        <v>-0.56601591474793589</v>
      </c>
      <c r="F129" s="1252">
        <v>-0.14633721281057954</v>
      </c>
      <c r="G129" s="1253">
        <v>-1.3445720567333062</v>
      </c>
      <c r="H129" s="1254">
        <v>0.67663871887071769</v>
      </c>
      <c r="I129" s="1252">
        <v>-1.9137539282639342</v>
      </c>
      <c r="J129" s="1253">
        <v>0.31382118047988489</v>
      </c>
    </row>
    <row r="131" spans="1:10" ht="15" customHeight="1" x14ac:dyDescent="0.2">
      <c r="A131" s="1142"/>
      <c r="B131" s="1142"/>
      <c r="C131" s="1142"/>
      <c r="D131" s="1142"/>
      <c r="E131" s="1142"/>
      <c r="F131" s="1142"/>
      <c r="G131" s="1142"/>
      <c r="H131" s="1142"/>
      <c r="I131" s="1142"/>
      <c r="J131" s="1142"/>
    </row>
    <row r="132" spans="1:10" ht="15" customHeight="1" x14ac:dyDescent="0.2">
      <c r="A132" s="1142"/>
      <c r="B132" s="1142"/>
      <c r="C132" s="1142"/>
      <c r="D132" s="1142"/>
      <c r="E132" s="1142"/>
      <c r="F132" s="1142"/>
      <c r="G132" s="1142"/>
      <c r="H132" s="1142"/>
      <c r="I132" s="1142"/>
      <c r="J132" s="1142"/>
    </row>
  </sheetData>
  <mergeCells count="8">
    <mergeCell ref="N20:S20"/>
    <mergeCell ref="AC24:AD24"/>
    <mergeCell ref="A1:B1"/>
    <mergeCell ref="C1:J1"/>
    <mergeCell ref="K1:S1"/>
    <mergeCell ref="T1:AB1"/>
    <mergeCell ref="K11:S11"/>
    <mergeCell ref="AC19:AE19"/>
  </mergeCells>
  <conditionalFormatting sqref="L3:S10">
    <cfRule type="cellIs" dxfId="16" priority="2" operator="between">
      <formula>-0.0001</formula>
      <formula>0.0001</formula>
    </cfRule>
  </conditionalFormatting>
  <conditionalFormatting sqref="L12:S19">
    <cfRule type="cellIs" dxfId="15" priority="1" operator="between">
      <formula>-0.0001</formula>
      <formula>0.0001</formula>
    </cfRule>
  </conditionalFormatting>
  <pageMargins left="0.7" right="0.7" top="0.75" bottom="0.75" header="0.3" footer="0.3"/>
  <pageSetup orientation="portrait" horizontalDpi="360" verticalDpi="360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A922D-404E-47DD-8797-891EB0263B92}">
  <dimension ref="A1:AT76"/>
  <sheetViews>
    <sheetView zoomScaleNormal="100" workbookViewId="0">
      <selection activeCell="A2" sqref="A1:A1048576"/>
    </sheetView>
  </sheetViews>
  <sheetFormatPr baseColWidth="10" defaultColWidth="5.6640625" defaultRowHeight="15" x14ac:dyDescent="0.2"/>
  <cols>
    <col min="1" max="1" width="3.33203125" style="143" customWidth="1"/>
    <col min="2" max="5" width="5.6640625" style="143"/>
    <col min="6" max="6" width="5.83203125" style="143" customWidth="1"/>
    <col min="7" max="7" width="5.6640625" style="145"/>
    <col min="8" max="14" width="5.6640625" style="143"/>
    <col min="15" max="15" width="5.6640625" style="143" customWidth="1"/>
    <col min="16" max="16" width="5.83203125" style="143" bestFit="1" customWidth="1"/>
    <col min="17" max="17" width="6" style="144" customWidth="1"/>
    <col min="18" max="20" width="5.83203125" style="144" bestFit="1" customWidth="1"/>
    <col min="21" max="21" width="5.83203125" style="144" customWidth="1"/>
    <col min="22" max="22" width="5.6640625" style="143"/>
    <col min="23" max="24" width="5.83203125" style="143" customWidth="1"/>
    <col min="25" max="25" width="5.83203125" style="143" bestFit="1" customWidth="1"/>
    <col min="26" max="42" width="5.6640625" style="144"/>
    <col min="43" max="16384" width="5.6640625" style="143"/>
  </cols>
  <sheetData>
    <row r="1" spans="1:42" ht="17" x14ac:dyDescent="0.2">
      <c r="A1" s="1575" t="s">
        <v>84</v>
      </c>
      <c r="B1" s="1547"/>
      <c r="C1" s="1547"/>
      <c r="D1" s="1547"/>
      <c r="E1" s="1417"/>
      <c r="F1" s="1418"/>
      <c r="G1" s="240" t="s">
        <v>83</v>
      </c>
      <c r="H1" s="208" t="s">
        <v>82</v>
      </c>
      <c r="I1" s="1481" t="s">
        <v>14</v>
      </c>
      <c r="J1" s="1481"/>
      <c r="K1" s="1481"/>
      <c r="L1" s="1481"/>
      <c r="M1" s="1481"/>
      <c r="N1" s="1482"/>
      <c r="O1" s="1483" t="s">
        <v>81</v>
      </c>
      <c r="P1" s="1481"/>
      <c r="Q1" s="1481"/>
      <c r="R1" s="1481"/>
      <c r="S1" s="1481"/>
      <c r="T1" s="1482"/>
      <c r="U1" s="1501" t="s">
        <v>80</v>
      </c>
      <c r="V1" s="1501" t="s">
        <v>47</v>
      </c>
      <c r="W1" s="144"/>
      <c r="X1" s="144"/>
      <c r="Y1" s="144"/>
    </row>
    <row r="2" spans="1:42" s="237" customFormat="1" x14ac:dyDescent="0.2">
      <c r="A2" s="202" t="s">
        <v>79</v>
      </c>
      <c r="B2" s="202" t="s">
        <v>78</v>
      </c>
      <c r="C2" s="213" t="s">
        <v>76</v>
      </c>
      <c r="D2" s="213" t="s">
        <v>68</v>
      </c>
      <c r="E2" s="201" t="s">
        <v>66</v>
      </c>
      <c r="F2" s="202" t="s">
        <v>77</v>
      </c>
      <c r="G2" s="239" t="s">
        <v>77</v>
      </c>
      <c r="H2" s="171" t="s">
        <v>4</v>
      </c>
      <c r="I2" s="209">
        <v>0</v>
      </c>
      <c r="J2" s="191" t="s">
        <v>0</v>
      </c>
      <c r="K2" s="208" t="s">
        <v>1</v>
      </c>
      <c r="L2" s="191" t="s">
        <v>68</v>
      </c>
      <c r="M2" s="209" t="s">
        <v>66</v>
      </c>
      <c r="N2" s="208" t="s">
        <v>75</v>
      </c>
      <c r="O2" s="209">
        <v>0</v>
      </c>
      <c r="P2" s="191" t="s">
        <v>0</v>
      </c>
      <c r="Q2" s="238" t="s">
        <v>1</v>
      </c>
      <c r="R2" s="191" t="s">
        <v>68</v>
      </c>
      <c r="S2" s="208" t="s">
        <v>66</v>
      </c>
      <c r="T2" s="238" t="s">
        <v>72</v>
      </c>
      <c r="U2" s="1576"/>
      <c r="V2" s="1576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</row>
    <row r="3" spans="1:42" x14ac:dyDescent="0.2">
      <c r="A3" s="191">
        <v>1</v>
      </c>
      <c r="B3" s="189">
        <v>1</v>
      </c>
      <c r="C3" s="177" t="s">
        <v>0</v>
      </c>
      <c r="D3" s="177">
        <v>-1</v>
      </c>
      <c r="E3" s="179">
        <v>-1</v>
      </c>
      <c r="F3" s="181">
        <v>3.8</v>
      </c>
      <c r="G3" s="181">
        <f t="array" ref="G3:G26">MMULT(I3:N26,U10:U15)</f>
        <v>3.2583333333333324</v>
      </c>
      <c r="H3" s="190">
        <f>AVERAGE(F3:F6)</f>
        <v>4.3249999999999993</v>
      </c>
      <c r="I3" s="189">
        <v>1</v>
      </c>
      <c r="J3" s="189">
        <v>1</v>
      </c>
      <c r="K3" s="179">
        <v>0</v>
      </c>
      <c r="L3" s="189">
        <f t="shared" ref="L3:L26" si="0">D3</f>
        <v>-1</v>
      </c>
      <c r="M3" s="177">
        <f t="shared" ref="M3:M26" si="1">E3</f>
        <v>-1</v>
      </c>
      <c r="N3" s="179">
        <f t="shared" ref="N3:N26" si="2">M3*L3</f>
        <v>1</v>
      </c>
      <c r="O3" s="198">
        <f t="array" ref="O3:T8">MMULT(TRANSPOSE(I3:N26),I3:N26)</f>
        <v>24</v>
      </c>
      <c r="P3" s="197">
        <v>8</v>
      </c>
      <c r="Q3" s="232">
        <v>8</v>
      </c>
      <c r="R3" s="197">
        <v>0</v>
      </c>
      <c r="S3" s="232">
        <v>0</v>
      </c>
      <c r="T3" s="199">
        <v>0</v>
      </c>
      <c r="U3" s="236">
        <f t="array" ref="U3:U8">MMULT(TRANSPOSE(I3:N26),F3:F26)</f>
        <v>132.4</v>
      </c>
      <c r="V3" s="215">
        <v>0</v>
      </c>
      <c r="W3" s="144"/>
      <c r="X3" s="144"/>
      <c r="Y3" s="144"/>
    </row>
    <row r="4" spans="1:42" x14ac:dyDescent="0.2">
      <c r="A4" s="174">
        <v>2</v>
      </c>
      <c r="B4" s="172">
        <v>1</v>
      </c>
      <c r="C4" s="143" t="s">
        <v>0</v>
      </c>
      <c r="D4" s="143">
        <v>-1</v>
      </c>
      <c r="E4" s="163">
        <v>1</v>
      </c>
      <c r="F4" s="165">
        <v>3.4</v>
      </c>
      <c r="G4" s="165">
        <v>2.6083333333333321</v>
      </c>
      <c r="H4" s="173">
        <f>H3</f>
        <v>4.3249999999999993</v>
      </c>
      <c r="I4" s="172">
        <v>1</v>
      </c>
      <c r="J4" s="172">
        <v>1</v>
      </c>
      <c r="K4" s="163">
        <v>0</v>
      </c>
      <c r="L4" s="172">
        <f t="shared" si="0"/>
        <v>-1</v>
      </c>
      <c r="M4" s="143">
        <f t="shared" si="1"/>
        <v>1</v>
      </c>
      <c r="N4" s="163">
        <f t="shared" si="2"/>
        <v>-1</v>
      </c>
      <c r="O4" s="143">
        <v>8</v>
      </c>
      <c r="P4" s="172">
        <v>8</v>
      </c>
      <c r="Q4" s="163">
        <v>0</v>
      </c>
      <c r="R4" s="172">
        <v>0</v>
      </c>
      <c r="S4" s="163">
        <v>0</v>
      </c>
      <c r="T4" s="164">
        <v>0</v>
      </c>
      <c r="U4" s="233">
        <v>31.399999999999995</v>
      </c>
      <c r="V4" s="182" t="s">
        <v>0</v>
      </c>
      <c r="W4" s="144"/>
      <c r="X4" s="144"/>
      <c r="Y4" s="144"/>
    </row>
    <row r="5" spans="1:42" x14ac:dyDescent="0.2">
      <c r="A5" s="174">
        <v>3</v>
      </c>
      <c r="B5" s="172">
        <v>1</v>
      </c>
      <c r="C5" s="143" t="s">
        <v>0</v>
      </c>
      <c r="D5" s="143">
        <v>1</v>
      </c>
      <c r="E5" s="163">
        <v>-1</v>
      </c>
      <c r="F5" s="165">
        <v>4.5999999999999996</v>
      </c>
      <c r="G5" s="165">
        <v>5.0249999999999995</v>
      </c>
      <c r="H5" s="173">
        <f>H4</f>
        <v>4.3249999999999993</v>
      </c>
      <c r="I5" s="172">
        <v>1</v>
      </c>
      <c r="J5" s="172">
        <v>1</v>
      </c>
      <c r="K5" s="163">
        <v>0</v>
      </c>
      <c r="L5" s="172">
        <f t="shared" si="0"/>
        <v>1</v>
      </c>
      <c r="M5" s="143">
        <f t="shared" si="1"/>
        <v>-1</v>
      </c>
      <c r="N5" s="163">
        <f t="shared" si="2"/>
        <v>-1</v>
      </c>
      <c r="O5" s="143">
        <v>8</v>
      </c>
      <c r="P5" s="172">
        <v>0</v>
      </c>
      <c r="Q5" s="163">
        <v>8</v>
      </c>
      <c r="R5" s="172">
        <v>0</v>
      </c>
      <c r="S5" s="163">
        <v>0</v>
      </c>
      <c r="T5" s="164">
        <v>0</v>
      </c>
      <c r="U5" s="233">
        <v>24.1</v>
      </c>
      <c r="V5" s="153" t="s">
        <v>1</v>
      </c>
      <c r="W5" s="144"/>
      <c r="Y5" s="144"/>
    </row>
    <row r="6" spans="1:42" x14ac:dyDescent="0.2">
      <c r="A6" s="162">
        <v>4</v>
      </c>
      <c r="B6" s="160">
        <v>1</v>
      </c>
      <c r="C6" s="150" t="s">
        <v>0</v>
      </c>
      <c r="D6" s="150">
        <v>1</v>
      </c>
      <c r="E6" s="149">
        <v>1</v>
      </c>
      <c r="F6" s="152">
        <v>5.5</v>
      </c>
      <c r="G6" s="152">
        <v>4.8083333333333327</v>
      </c>
      <c r="H6" s="161">
        <f>H5</f>
        <v>4.3249999999999993</v>
      </c>
      <c r="I6" s="160">
        <v>1</v>
      </c>
      <c r="J6" s="160">
        <v>1</v>
      </c>
      <c r="K6" s="149">
        <v>0</v>
      </c>
      <c r="L6" s="160">
        <f t="shared" si="0"/>
        <v>1</v>
      </c>
      <c r="M6" s="150">
        <f t="shared" si="1"/>
        <v>1</v>
      </c>
      <c r="N6" s="149">
        <f t="shared" si="2"/>
        <v>1</v>
      </c>
      <c r="O6" s="177">
        <v>0</v>
      </c>
      <c r="P6" s="189">
        <v>0</v>
      </c>
      <c r="Q6" s="179">
        <v>0</v>
      </c>
      <c r="R6" s="189">
        <v>24</v>
      </c>
      <c r="S6" s="179">
        <v>0</v>
      </c>
      <c r="T6" s="180">
        <v>0</v>
      </c>
      <c r="U6" s="235">
        <v>23.800000000000004</v>
      </c>
      <c r="V6" s="182" t="s">
        <v>68</v>
      </c>
      <c r="W6" s="144"/>
      <c r="Y6" s="144"/>
    </row>
    <row r="7" spans="1:42" x14ac:dyDescent="0.2">
      <c r="A7" s="191">
        <v>5</v>
      </c>
      <c r="B7" s="189">
        <v>2</v>
      </c>
      <c r="C7" s="177" t="s">
        <v>1</v>
      </c>
      <c r="D7" s="177">
        <v>-1</v>
      </c>
      <c r="E7" s="179">
        <v>-1</v>
      </c>
      <c r="F7" s="181">
        <v>1</v>
      </c>
      <c r="G7" s="181">
        <v>2.345833333333331</v>
      </c>
      <c r="H7" s="190">
        <f>AVERAGE(F7:F10)</f>
        <v>2.0750000000000002</v>
      </c>
      <c r="I7" s="189">
        <v>1</v>
      </c>
      <c r="J7" s="189">
        <v>0</v>
      </c>
      <c r="K7" s="179">
        <v>1</v>
      </c>
      <c r="L7" s="189">
        <f t="shared" si="0"/>
        <v>-1</v>
      </c>
      <c r="M7" s="177">
        <f t="shared" si="1"/>
        <v>-1</v>
      </c>
      <c r="N7" s="179">
        <f t="shared" si="2"/>
        <v>1</v>
      </c>
      <c r="O7" s="150">
        <v>0</v>
      </c>
      <c r="P7" s="160">
        <v>0</v>
      </c>
      <c r="Q7" s="149">
        <v>0</v>
      </c>
      <c r="R7" s="160">
        <v>0</v>
      </c>
      <c r="S7" s="149">
        <v>24</v>
      </c>
      <c r="T7" s="151">
        <v>0</v>
      </c>
      <c r="U7" s="234">
        <v>-5.1999999999999993</v>
      </c>
      <c r="V7" s="153" t="s">
        <v>66</v>
      </c>
      <c r="W7" s="144"/>
      <c r="Y7" s="144"/>
    </row>
    <row r="8" spans="1:42" x14ac:dyDescent="0.2">
      <c r="A8" s="174">
        <v>6</v>
      </c>
      <c r="B8" s="172">
        <v>2</v>
      </c>
      <c r="C8" s="143" t="s">
        <v>1</v>
      </c>
      <c r="D8" s="143">
        <v>-1</v>
      </c>
      <c r="E8" s="163">
        <v>1</v>
      </c>
      <c r="F8" s="165">
        <v>1.6</v>
      </c>
      <c r="G8" s="165">
        <v>1.6958333333333309</v>
      </c>
      <c r="H8" s="173">
        <f>H7</f>
        <v>2.0750000000000002</v>
      </c>
      <c r="I8" s="172">
        <v>1</v>
      </c>
      <c r="J8" s="172">
        <v>0</v>
      </c>
      <c r="K8" s="163">
        <v>1</v>
      </c>
      <c r="L8" s="172">
        <f t="shared" si="0"/>
        <v>-1</v>
      </c>
      <c r="M8" s="143">
        <f t="shared" si="1"/>
        <v>1</v>
      </c>
      <c r="N8" s="163">
        <f t="shared" si="2"/>
        <v>-1</v>
      </c>
      <c r="O8" s="143">
        <v>0</v>
      </c>
      <c r="P8" s="172">
        <v>0</v>
      </c>
      <c r="Q8" s="163">
        <v>0</v>
      </c>
      <c r="R8" s="172">
        <v>0</v>
      </c>
      <c r="S8" s="163">
        <v>0</v>
      </c>
      <c r="T8" s="164">
        <v>24</v>
      </c>
      <c r="U8" s="233">
        <v>2.6000000000000032</v>
      </c>
      <c r="V8" s="215" t="s">
        <v>72</v>
      </c>
      <c r="W8" s="144"/>
      <c r="Y8" s="144"/>
    </row>
    <row r="9" spans="1:42" ht="17" x14ac:dyDescent="0.2">
      <c r="A9" s="174">
        <v>7</v>
      </c>
      <c r="B9" s="172">
        <v>2</v>
      </c>
      <c r="C9" s="143" t="s">
        <v>1</v>
      </c>
      <c r="D9" s="143">
        <v>1</v>
      </c>
      <c r="E9" s="163">
        <v>-1</v>
      </c>
      <c r="F9" s="165">
        <v>1.6</v>
      </c>
      <c r="G9" s="165">
        <v>4.112499999999998</v>
      </c>
      <c r="H9" s="173">
        <f>H8</f>
        <v>2.0750000000000002</v>
      </c>
      <c r="I9" s="172">
        <v>1</v>
      </c>
      <c r="J9" s="172">
        <v>0</v>
      </c>
      <c r="K9" s="163">
        <v>1</v>
      </c>
      <c r="L9" s="172">
        <f t="shared" si="0"/>
        <v>1</v>
      </c>
      <c r="M9" s="143">
        <f t="shared" si="1"/>
        <v>-1</v>
      </c>
      <c r="N9" s="163">
        <f t="shared" si="2"/>
        <v>-1</v>
      </c>
      <c r="O9" s="1481" t="s">
        <v>74</v>
      </c>
      <c r="P9" s="1481"/>
      <c r="Q9" s="1481"/>
      <c r="R9" s="1481"/>
      <c r="S9" s="1481"/>
      <c r="T9" s="1482"/>
      <c r="U9" s="214" t="s">
        <v>39</v>
      </c>
      <c r="V9" s="214" t="s">
        <v>47</v>
      </c>
      <c r="W9" s="1480" t="s">
        <v>73</v>
      </c>
      <c r="X9" s="1487"/>
      <c r="Y9" s="1488"/>
    </row>
    <row r="10" spans="1:42" x14ac:dyDescent="0.2">
      <c r="A10" s="162">
        <v>8</v>
      </c>
      <c r="B10" s="160">
        <v>2</v>
      </c>
      <c r="C10" s="150" t="s">
        <v>1</v>
      </c>
      <c r="D10" s="150">
        <v>1</v>
      </c>
      <c r="E10" s="149">
        <v>1</v>
      </c>
      <c r="F10" s="152">
        <v>4.0999999999999996</v>
      </c>
      <c r="G10" s="152">
        <v>3.8958333333333313</v>
      </c>
      <c r="H10" s="161">
        <f>H9</f>
        <v>2.0750000000000002</v>
      </c>
      <c r="I10" s="160">
        <v>1</v>
      </c>
      <c r="J10" s="160">
        <v>0</v>
      </c>
      <c r="K10" s="149">
        <v>1</v>
      </c>
      <c r="L10" s="160">
        <f t="shared" si="0"/>
        <v>1</v>
      </c>
      <c r="M10" s="150">
        <f t="shared" si="1"/>
        <v>1</v>
      </c>
      <c r="N10" s="149">
        <f t="shared" si="2"/>
        <v>1</v>
      </c>
      <c r="O10" s="232">
        <f t="array" ref="O10:T15">MINVERSE(O3:T8)</f>
        <v>0.12499999999999996</v>
      </c>
      <c r="P10" s="198">
        <v>-0.12499999999999999</v>
      </c>
      <c r="Q10" s="231">
        <v>-0.12499999999999996</v>
      </c>
      <c r="R10" s="230">
        <v>0</v>
      </c>
      <c r="S10" s="229">
        <v>0</v>
      </c>
      <c r="T10" s="229">
        <v>0</v>
      </c>
      <c r="U10" s="228">
        <f t="array" ref="U10:U15">MMULT(O10:T15,U3:U8)</f>
        <v>9.6124999999999954</v>
      </c>
      <c r="V10" s="215">
        <v>0</v>
      </c>
      <c r="W10" s="227">
        <v>0</v>
      </c>
      <c r="X10" s="199"/>
      <c r="Y10" s="226">
        <f>AVERAGE(X11:X13)</f>
        <v>5.5166666666666631</v>
      </c>
    </row>
    <row r="11" spans="1:42" x14ac:dyDescent="0.2">
      <c r="A11" s="191">
        <v>9</v>
      </c>
      <c r="B11" s="189">
        <v>3</v>
      </c>
      <c r="C11" s="177" t="s">
        <v>2</v>
      </c>
      <c r="D11" s="177">
        <v>-1</v>
      </c>
      <c r="E11" s="179">
        <v>-1</v>
      </c>
      <c r="F11" s="181">
        <v>9.8000000000000007</v>
      </c>
      <c r="G11" s="181">
        <v>8.9458333333333293</v>
      </c>
      <c r="H11" s="190">
        <f>AVERAGE(F11:F14)</f>
        <v>10.225</v>
      </c>
      <c r="I11" s="189">
        <v>1</v>
      </c>
      <c r="J11" s="189">
        <v>0</v>
      </c>
      <c r="K11" s="179">
        <v>0</v>
      </c>
      <c r="L11" s="189">
        <f t="shared" si="0"/>
        <v>-1</v>
      </c>
      <c r="M11" s="177">
        <f t="shared" si="1"/>
        <v>-1</v>
      </c>
      <c r="N11" s="179">
        <f t="shared" si="2"/>
        <v>1</v>
      </c>
      <c r="O11" s="163">
        <v>-0.12499999999999996</v>
      </c>
      <c r="P11" s="143">
        <v>0.24999999999999997</v>
      </c>
      <c r="Q11" s="144">
        <v>0.12499999999999996</v>
      </c>
      <c r="R11" s="224">
        <v>0</v>
      </c>
      <c r="S11" s="166">
        <v>0</v>
      </c>
      <c r="T11" s="166">
        <v>0</v>
      </c>
      <c r="U11" s="223">
        <v>-5.6874999999999964</v>
      </c>
      <c r="V11" s="182" t="s">
        <v>0</v>
      </c>
      <c r="W11" s="225" t="s">
        <v>0</v>
      </c>
      <c r="X11" s="167">
        <f>U10+U11</f>
        <v>3.9249999999999989</v>
      </c>
      <c r="Y11" s="190">
        <f>X11-Y$10</f>
        <v>-1.5916666666666641</v>
      </c>
    </row>
    <row r="12" spans="1:42" x14ac:dyDescent="0.2">
      <c r="A12" s="174">
        <v>10</v>
      </c>
      <c r="B12" s="172">
        <v>3</v>
      </c>
      <c r="C12" s="143" t="s">
        <v>2</v>
      </c>
      <c r="D12" s="143">
        <v>-1</v>
      </c>
      <c r="E12" s="163">
        <v>1</v>
      </c>
      <c r="F12" s="165">
        <v>7.7</v>
      </c>
      <c r="G12" s="165">
        <v>8.2958333333333272</v>
      </c>
      <c r="H12" s="173">
        <f>H11</f>
        <v>10.225</v>
      </c>
      <c r="I12" s="172">
        <v>1</v>
      </c>
      <c r="J12" s="172">
        <v>0</v>
      </c>
      <c r="K12" s="163">
        <v>0</v>
      </c>
      <c r="L12" s="172">
        <f t="shared" si="0"/>
        <v>-1</v>
      </c>
      <c r="M12" s="143">
        <f t="shared" si="1"/>
        <v>1</v>
      </c>
      <c r="N12" s="163">
        <f t="shared" si="2"/>
        <v>-1</v>
      </c>
      <c r="O12" s="163">
        <v>-0.12499999999999996</v>
      </c>
      <c r="P12" s="143">
        <v>0.12499999999999996</v>
      </c>
      <c r="Q12" s="144">
        <v>0.24999999999999994</v>
      </c>
      <c r="R12" s="224">
        <v>0</v>
      </c>
      <c r="S12" s="166">
        <v>0</v>
      </c>
      <c r="T12" s="166">
        <v>0</v>
      </c>
      <c r="U12" s="223">
        <v>-6.5999999999999979</v>
      </c>
      <c r="V12" s="153" t="s">
        <v>1</v>
      </c>
      <c r="W12" s="169" t="s">
        <v>1</v>
      </c>
      <c r="X12" s="203">
        <f>U10+U12</f>
        <v>3.0124999999999975</v>
      </c>
      <c r="Y12" s="173">
        <f>X12-Y$10</f>
        <v>-2.5041666666666655</v>
      </c>
    </row>
    <row r="13" spans="1:42" x14ac:dyDescent="0.2">
      <c r="A13" s="174">
        <v>11</v>
      </c>
      <c r="B13" s="172">
        <v>3</v>
      </c>
      <c r="C13" s="143" t="s">
        <v>2</v>
      </c>
      <c r="D13" s="143">
        <v>1</v>
      </c>
      <c r="E13" s="163">
        <v>-1</v>
      </c>
      <c r="F13" s="165">
        <v>13.5</v>
      </c>
      <c r="G13" s="165">
        <v>10.712499999999995</v>
      </c>
      <c r="H13" s="173">
        <f>H12</f>
        <v>10.225</v>
      </c>
      <c r="I13" s="172">
        <v>1</v>
      </c>
      <c r="J13" s="172">
        <v>0</v>
      </c>
      <c r="K13" s="163">
        <v>0</v>
      </c>
      <c r="L13" s="172">
        <f t="shared" si="0"/>
        <v>1</v>
      </c>
      <c r="M13" s="143">
        <f t="shared" si="1"/>
        <v>-1</v>
      </c>
      <c r="N13" s="163">
        <f t="shared" si="2"/>
        <v>-1</v>
      </c>
      <c r="O13" s="179">
        <v>0</v>
      </c>
      <c r="P13" s="177">
        <v>0</v>
      </c>
      <c r="Q13" s="222">
        <v>0</v>
      </c>
      <c r="R13" s="221">
        <v>4.1666666666666664E-2</v>
      </c>
      <c r="S13" s="220">
        <v>0</v>
      </c>
      <c r="T13" s="220">
        <v>0</v>
      </c>
      <c r="U13" s="219">
        <v>0.99166666666666681</v>
      </c>
      <c r="V13" s="182" t="s">
        <v>68</v>
      </c>
      <c r="W13" s="218" t="s">
        <v>2</v>
      </c>
      <c r="X13" s="156">
        <f>U10</f>
        <v>9.6124999999999954</v>
      </c>
      <c r="Y13" s="161">
        <f>X13-Y$10</f>
        <v>4.0958333333333323</v>
      </c>
    </row>
    <row r="14" spans="1:42" x14ac:dyDescent="0.2">
      <c r="A14" s="162">
        <v>12</v>
      </c>
      <c r="B14" s="160">
        <v>3</v>
      </c>
      <c r="C14" s="150" t="s">
        <v>2</v>
      </c>
      <c r="D14" s="150">
        <v>1</v>
      </c>
      <c r="E14" s="149">
        <v>1</v>
      </c>
      <c r="F14" s="152">
        <v>9.9</v>
      </c>
      <c r="G14" s="152">
        <v>10.49583333333333</v>
      </c>
      <c r="H14" s="161">
        <f>H13</f>
        <v>10.225</v>
      </c>
      <c r="I14" s="160">
        <v>1</v>
      </c>
      <c r="J14" s="160">
        <v>0</v>
      </c>
      <c r="K14" s="149">
        <v>0</v>
      </c>
      <c r="L14" s="160">
        <f t="shared" si="0"/>
        <v>1</v>
      </c>
      <c r="M14" s="150">
        <f t="shared" si="1"/>
        <v>1</v>
      </c>
      <c r="N14" s="149">
        <f t="shared" si="2"/>
        <v>1</v>
      </c>
      <c r="O14" s="149">
        <v>0</v>
      </c>
      <c r="P14" s="150">
        <v>0</v>
      </c>
      <c r="Q14" s="155">
        <v>0</v>
      </c>
      <c r="R14" s="217">
        <v>0</v>
      </c>
      <c r="S14" s="154">
        <v>4.1666666666666664E-2</v>
      </c>
      <c r="T14" s="154">
        <v>0</v>
      </c>
      <c r="U14" s="216">
        <v>-0.21666666666666662</v>
      </c>
      <c r="V14" s="153" t="s">
        <v>66</v>
      </c>
    </row>
    <row r="15" spans="1:42" x14ac:dyDescent="0.2">
      <c r="A15" s="191">
        <v>13</v>
      </c>
      <c r="B15" s="189">
        <v>4</v>
      </c>
      <c r="C15" s="177" t="s">
        <v>0</v>
      </c>
      <c r="D15" s="177">
        <v>-1</v>
      </c>
      <c r="E15" s="179">
        <v>-1</v>
      </c>
      <c r="F15" s="181">
        <v>2.8</v>
      </c>
      <c r="G15" s="181">
        <v>3.2583333333333324</v>
      </c>
      <c r="H15" s="190">
        <f>AVERAGE(F15:F18)</f>
        <v>3.5249999999999995</v>
      </c>
      <c r="I15" s="189">
        <v>1</v>
      </c>
      <c r="J15" s="189">
        <v>1</v>
      </c>
      <c r="K15" s="179">
        <v>0</v>
      </c>
      <c r="L15" s="189">
        <f t="shared" si="0"/>
        <v>-1</v>
      </c>
      <c r="M15" s="177">
        <f t="shared" si="1"/>
        <v>-1</v>
      </c>
      <c r="N15" s="179">
        <f t="shared" si="2"/>
        <v>1</v>
      </c>
      <c r="O15" s="149">
        <v>0</v>
      </c>
      <c r="P15" s="150">
        <v>0</v>
      </c>
      <c r="Q15" s="155">
        <v>0</v>
      </c>
      <c r="R15" s="217">
        <v>0</v>
      </c>
      <c r="S15" s="154">
        <v>0</v>
      </c>
      <c r="T15" s="154">
        <v>4.1666666666666664E-2</v>
      </c>
      <c r="U15" s="216">
        <v>0.10833333333333346</v>
      </c>
      <c r="V15" s="215" t="s">
        <v>72</v>
      </c>
    </row>
    <row r="16" spans="1:42" x14ac:dyDescent="0.2">
      <c r="A16" s="174">
        <v>14</v>
      </c>
      <c r="B16" s="172">
        <v>4</v>
      </c>
      <c r="C16" s="143" t="s">
        <v>0</v>
      </c>
      <c r="D16" s="143">
        <v>-1</v>
      </c>
      <c r="E16" s="163">
        <v>1</v>
      </c>
      <c r="F16" s="165">
        <v>2.5</v>
      </c>
      <c r="G16" s="165">
        <v>2.6083333333333321</v>
      </c>
      <c r="H16" s="173">
        <f>H15</f>
        <v>3.5249999999999995</v>
      </c>
      <c r="I16" s="172">
        <v>1</v>
      </c>
      <c r="J16" s="172">
        <v>1</v>
      </c>
      <c r="K16" s="163">
        <v>0</v>
      </c>
      <c r="L16" s="172">
        <f t="shared" si="0"/>
        <v>-1</v>
      </c>
      <c r="M16" s="143">
        <f t="shared" si="1"/>
        <v>1</v>
      </c>
      <c r="N16" s="163">
        <f t="shared" si="2"/>
        <v>-1</v>
      </c>
      <c r="O16" s="1483" t="s">
        <v>71</v>
      </c>
      <c r="P16" s="1556"/>
      <c r="Q16" s="214" t="s">
        <v>30</v>
      </c>
      <c r="R16" s="214" t="s">
        <v>31</v>
      </c>
      <c r="S16" s="213" t="s">
        <v>32</v>
      </c>
      <c r="T16" s="212" t="s">
        <v>3</v>
      </c>
      <c r="U16" s="211" t="s">
        <v>33</v>
      </c>
      <c r="V16" s="210" t="s">
        <v>70</v>
      </c>
      <c r="W16" s="1480" t="s">
        <v>69</v>
      </c>
      <c r="X16" s="1487"/>
      <c r="Y16" s="1488"/>
    </row>
    <row r="17" spans="1:46" ht="17" x14ac:dyDescent="0.25">
      <c r="A17" s="174">
        <v>15</v>
      </c>
      <c r="B17" s="172">
        <v>4</v>
      </c>
      <c r="C17" s="143" t="s">
        <v>0</v>
      </c>
      <c r="D17" s="143">
        <v>1</v>
      </c>
      <c r="E17" s="163">
        <v>-1</v>
      </c>
      <c r="F17" s="165">
        <v>4.0999999999999996</v>
      </c>
      <c r="G17" s="165">
        <v>5.0249999999999995</v>
      </c>
      <c r="H17" s="173">
        <f>H16</f>
        <v>3.5249999999999995</v>
      </c>
      <c r="I17" s="172">
        <v>1</v>
      </c>
      <c r="J17" s="172">
        <v>1</v>
      </c>
      <c r="K17" s="163">
        <v>0</v>
      </c>
      <c r="L17" s="172">
        <f t="shared" si="0"/>
        <v>1</v>
      </c>
      <c r="M17" s="143">
        <f t="shared" si="1"/>
        <v>-1</v>
      </c>
      <c r="N17" s="163">
        <f t="shared" si="2"/>
        <v>-1</v>
      </c>
      <c r="O17" s="1480" t="s">
        <v>68</v>
      </c>
      <c r="P17" s="1488"/>
      <c r="Q17" s="207">
        <f>U6*U13</f>
        <v>23.601666666666674</v>
      </c>
      <c r="R17" s="180">
        <v>1</v>
      </c>
      <c r="S17" s="177">
        <f t="shared" ref="S17:S25" si="3">Q17/R17</f>
        <v>23.601666666666674</v>
      </c>
      <c r="T17" s="189">
        <f>S17/S$21</f>
        <v>13.374574990555278</v>
      </c>
      <c r="U17" s="206">
        <f>FDIST(T17,R17,R$21)</f>
        <v>2.3354828611289727E-3</v>
      </c>
      <c r="V17" s="167" t="str">
        <f t="shared" ref="V17:V23" si="4">IF(U17&lt;=0.05,"*","")</f>
        <v>*</v>
      </c>
      <c r="W17" s="1577" t="s">
        <v>67</v>
      </c>
      <c r="X17" s="1578"/>
      <c r="Y17" s="1579"/>
    </row>
    <row r="18" spans="1:46" ht="17" x14ac:dyDescent="0.25">
      <c r="A18" s="162">
        <v>16</v>
      </c>
      <c r="B18" s="160">
        <v>4</v>
      </c>
      <c r="C18" s="150" t="s">
        <v>0</v>
      </c>
      <c r="D18" s="150">
        <v>1</v>
      </c>
      <c r="E18" s="149">
        <v>1</v>
      </c>
      <c r="F18" s="152">
        <v>4.7</v>
      </c>
      <c r="G18" s="152">
        <v>4.8083333333333327</v>
      </c>
      <c r="H18" s="161">
        <f>H17</f>
        <v>3.5249999999999995</v>
      </c>
      <c r="I18" s="160">
        <v>1</v>
      </c>
      <c r="J18" s="160">
        <v>1</v>
      </c>
      <c r="K18" s="149">
        <v>0</v>
      </c>
      <c r="L18" s="160">
        <f t="shared" si="0"/>
        <v>1</v>
      </c>
      <c r="M18" s="150">
        <f t="shared" si="1"/>
        <v>1</v>
      </c>
      <c r="N18" s="149">
        <f t="shared" si="2"/>
        <v>1</v>
      </c>
      <c r="O18" s="1588" t="s">
        <v>66</v>
      </c>
      <c r="P18" s="1587"/>
      <c r="Q18" s="205">
        <f>U7*U14</f>
        <v>1.1266666666666663</v>
      </c>
      <c r="R18" s="164">
        <v>1</v>
      </c>
      <c r="S18" s="143">
        <f t="shared" si="3"/>
        <v>1.1266666666666663</v>
      </c>
      <c r="T18" s="172">
        <f>S18/S$21</f>
        <v>0.63845863241404999</v>
      </c>
      <c r="U18" s="204">
        <f>FDIST(T18,R18,R$21)</f>
        <v>0.43673964367640772</v>
      </c>
      <c r="V18" s="203" t="str">
        <f t="shared" si="4"/>
        <v/>
      </c>
      <c r="W18" s="1580" t="s">
        <v>65</v>
      </c>
      <c r="X18" s="1581"/>
      <c r="Y18" s="1582"/>
    </row>
    <row r="19" spans="1:46" ht="17" x14ac:dyDescent="0.25">
      <c r="A19" s="191">
        <v>17</v>
      </c>
      <c r="B19" s="189">
        <v>5</v>
      </c>
      <c r="C19" s="177" t="s">
        <v>1</v>
      </c>
      <c r="D19" s="177">
        <v>-1</v>
      </c>
      <c r="E19" s="179">
        <v>-1</v>
      </c>
      <c r="F19" s="181">
        <v>2.9</v>
      </c>
      <c r="G19" s="181">
        <v>2.345833333333331</v>
      </c>
      <c r="H19" s="190">
        <f>AVERAGE(F19:F22)</f>
        <v>3.95</v>
      </c>
      <c r="I19" s="189">
        <v>1</v>
      </c>
      <c r="J19" s="189">
        <v>0</v>
      </c>
      <c r="K19" s="179">
        <v>1</v>
      </c>
      <c r="L19" s="189">
        <f t="shared" si="0"/>
        <v>-1</v>
      </c>
      <c r="M19" s="177">
        <f t="shared" si="1"/>
        <v>-1</v>
      </c>
      <c r="N19" s="179">
        <f t="shared" si="2"/>
        <v>1</v>
      </c>
      <c r="O19" s="1588" t="s">
        <v>64</v>
      </c>
      <c r="P19" s="1587"/>
      <c r="Q19" s="205">
        <f>U8*U15</f>
        <v>0.28166666666666734</v>
      </c>
      <c r="R19" s="164">
        <v>1</v>
      </c>
      <c r="S19" s="143">
        <f t="shared" si="3"/>
        <v>0.28166666666666734</v>
      </c>
      <c r="T19" s="172">
        <f>S19/S$21</f>
        <v>0.15961465810351294</v>
      </c>
      <c r="U19" s="204">
        <f>FDIST(T19,R19,R$21)</f>
        <v>0.69514239652348908</v>
      </c>
      <c r="V19" s="203" t="str">
        <f t="shared" si="4"/>
        <v/>
      </c>
      <c r="W19" s="1583" t="s">
        <v>63</v>
      </c>
      <c r="X19" s="1584"/>
      <c r="Y19" s="1585"/>
    </row>
    <row r="20" spans="1:46" ht="17" x14ac:dyDescent="0.25">
      <c r="A20" s="174">
        <v>18</v>
      </c>
      <c r="B20" s="172">
        <v>5</v>
      </c>
      <c r="C20" s="143" t="s">
        <v>1</v>
      </c>
      <c r="D20" s="143">
        <v>-1</v>
      </c>
      <c r="E20" s="163">
        <v>1</v>
      </c>
      <c r="F20" s="165">
        <v>3.4</v>
      </c>
      <c r="G20" s="165">
        <v>1.6958333333333309</v>
      </c>
      <c r="H20" s="173">
        <f>H19</f>
        <v>3.95</v>
      </c>
      <c r="I20" s="172">
        <v>1</v>
      </c>
      <c r="J20" s="172">
        <v>0</v>
      </c>
      <c r="K20" s="163">
        <v>1</v>
      </c>
      <c r="L20" s="172">
        <f t="shared" si="0"/>
        <v>-1</v>
      </c>
      <c r="M20" s="143">
        <f t="shared" si="1"/>
        <v>1</v>
      </c>
      <c r="N20" s="163">
        <f t="shared" si="2"/>
        <v>-1</v>
      </c>
      <c r="O20" s="1483" t="s">
        <v>62</v>
      </c>
      <c r="P20" s="1482"/>
      <c r="Q20" s="200">
        <f>SUM(Q17:Q19)</f>
        <v>25.010000000000005</v>
      </c>
      <c r="R20" s="199">
        <f>SUM(R17:R19)</f>
        <v>3</v>
      </c>
      <c r="S20" s="198">
        <f t="shared" si="3"/>
        <v>8.3366666666666678</v>
      </c>
      <c r="T20" s="197">
        <f>S20/S$21</f>
        <v>4.7242160936909459</v>
      </c>
      <c r="U20" s="196">
        <f>FDIST(T20,R20,R$21)</f>
        <v>1.6306873892950866E-2</v>
      </c>
      <c r="V20" s="195" t="str">
        <f t="shared" si="4"/>
        <v>*</v>
      </c>
      <c r="W20" s="1589" t="s">
        <v>61</v>
      </c>
      <c r="X20" s="1590"/>
      <c r="Y20" s="1591"/>
    </row>
    <row r="21" spans="1:46" ht="18" thickBot="1" x14ac:dyDescent="0.3">
      <c r="A21" s="174">
        <v>19</v>
      </c>
      <c r="B21" s="172">
        <v>5</v>
      </c>
      <c r="C21" s="143" t="s">
        <v>1</v>
      </c>
      <c r="D21" s="143">
        <v>1</v>
      </c>
      <c r="E21" s="163">
        <v>-1</v>
      </c>
      <c r="F21" s="165">
        <v>3.6</v>
      </c>
      <c r="G21" s="165">
        <v>4.112499999999998</v>
      </c>
      <c r="H21" s="173">
        <f>H20</f>
        <v>3.95</v>
      </c>
      <c r="I21" s="172">
        <v>1</v>
      </c>
      <c r="J21" s="172">
        <v>0</v>
      </c>
      <c r="K21" s="163">
        <v>1</v>
      </c>
      <c r="L21" s="172">
        <f t="shared" si="0"/>
        <v>1</v>
      </c>
      <c r="M21" s="143">
        <f t="shared" si="1"/>
        <v>-1</v>
      </c>
      <c r="N21" s="163">
        <f t="shared" si="2"/>
        <v>-1</v>
      </c>
      <c r="O21" s="1596" t="s">
        <v>60</v>
      </c>
      <c r="P21" s="1597"/>
      <c r="Q21" s="188">
        <f>Q25-Q23</f>
        <v>26.470000000000141</v>
      </c>
      <c r="R21" s="187">
        <v>15</v>
      </c>
      <c r="S21" s="186">
        <f t="shared" si="3"/>
        <v>1.7646666666666762</v>
      </c>
      <c r="T21" s="194" t="s">
        <v>59</v>
      </c>
      <c r="U21" s="184">
        <f>SQRT(S21)</f>
        <v>1.3284075679800518</v>
      </c>
      <c r="V21" s="183" t="str">
        <f t="shared" si="4"/>
        <v/>
      </c>
      <c r="W21" s="189"/>
      <c r="X21" s="177"/>
      <c r="Y21" s="179"/>
    </row>
    <row r="22" spans="1:46" ht="18" thickTop="1" x14ac:dyDescent="0.25">
      <c r="A22" s="162">
        <v>20</v>
      </c>
      <c r="B22" s="160">
        <v>5</v>
      </c>
      <c r="C22" s="150" t="s">
        <v>1</v>
      </c>
      <c r="D22" s="150">
        <v>1</v>
      </c>
      <c r="E22" s="149">
        <v>1</v>
      </c>
      <c r="F22" s="152">
        <v>5.9</v>
      </c>
      <c r="G22" s="152">
        <v>3.8958333333333313</v>
      </c>
      <c r="H22" s="161">
        <f>H21</f>
        <v>3.95</v>
      </c>
      <c r="I22" s="160">
        <v>1</v>
      </c>
      <c r="J22" s="160">
        <v>0</v>
      </c>
      <c r="K22" s="149">
        <v>1</v>
      </c>
      <c r="L22" s="160">
        <f t="shared" si="0"/>
        <v>1</v>
      </c>
      <c r="M22" s="150">
        <f t="shared" si="1"/>
        <v>1</v>
      </c>
      <c r="N22" s="149">
        <f t="shared" si="2"/>
        <v>1</v>
      </c>
      <c r="O22" s="1586" t="s">
        <v>58</v>
      </c>
      <c r="P22" s="1587"/>
      <c r="Q22" s="193">
        <f>Q24-Q20</f>
        <v>204.64083333333235</v>
      </c>
      <c r="R22" s="151">
        <v>2</v>
      </c>
      <c r="S22" s="150">
        <f t="shared" si="3"/>
        <v>102.32041666666618</v>
      </c>
      <c r="T22" s="160">
        <f>S22/S23</f>
        <v>27.134696132594375</v>
      </c>
      <c r="U22" s="157">
        <f>FDIST(T22,R22,R21)</f>
        <v>1.0390204911526336E-5</v>
      </c>
      <c r="V22" s="156" t="str">
        <f t="shared" si="4"/>
        <v>*</v>
      </c>
      <c r="W22" s="192" t="s">
        <v>57</v>
      </c>
      <c r="X22" s="150"/>
      <c r="Y22" s="149"/>
    </row>
    <row r="23" spans="1:46" ht="18" thickBot="1" x14ac:dyDescent="0.3">
      <c r="A23" s="191">
        <v>21</v>
      </c>
      <c r="B23" s="189">
        <v>6</v>
      </c>
      <c r="C23" s="177" t="s">
        <v>2</v>
      </c>
      <c r="D23" s="177">
        <v>-1</v>
      </c>
      <c r="E23" s="179">
        <v>-1</v>
      </c>
      <c r="F23" s="181">
        <v>8.8000000000000007</v>
      </c>
      <c r="G23" s="181">
        <v>8.9458333333333293</v>
      </c>
      <c r="H23" s="190">
        <f>AVERAGE(F23:F26)</f>
        <v>9</v>
      </c>
      <c r="I23" s="189">
        <v>1</v>
      </c>
      <c r="J23" s="189">
        <v>0</v>
      </c>
      <c r="K23" s="179">
        <v>0</v>
      </c>
      <c r="L23" s="189">
        <f t="shared" si="0"/>
        <v>-1</v>
      </c>
      <c r="M23" s="177">
        <f t="shared" si="1"/>
        <v>-1</v>
      </c>
      <c r="N23" s="179">
        <f t="shared" si="2"/>
        <v>1</v>
      </c>
      <c r="O23" s="1594" t="s">
        <v>56</v>
      </c>
      <c r="P23" s="1595"/>
      <c r="Q23" s="188">
        <f>DEVSQ(H3:H26)-Q22</f>
        <v>11.312500000000909</v>
      </c>
      <c r="R23" s="187">
        <v>3</v>
      </c>
      <c r="S23" s="186">
        <f t="shared" si="3"/>
        <v>3.7708333333336364</v>
      </c>
      <c r="T23" s="185">
        <f>S23/S$21</f>
        <v>2.1368530411788531</v>
      </c>
      <c r="U23" s="184">
        <f>FDIST(T23,R23,R$21)</f>
        <v>0.13831639610289079</v>
      </c>
      <c r="V23" s="183" t="str">
        <f t="shared" si="4"/>
        <v/>
      </c>
      <c r="Y23" s="163"/>
    </row>
    <row r="24" spans="1:46" ht="18" thickTop="1" x14ac:dyDescent="0.25">
      <c r="A24" s="174">
        <v>22</v>
      </c>
      <c r="B24" s="172">
        <v>6</v>
      </c>
      <c r="C24" s="143" t="s">
        <v>2</v>
      </c>
      <c r="D24" s="143">
        <v>-1</v>
      </c>
      <c r="E24" s="163">
        <v>1</v>
      </c>
      <c r="F24" s="165">
        <v>6.6</v>
      </c>
      <c r="G24" s="165">
        <v>8.2958333333333272</v>
      </c>
      <c r="H24" s="173">
        <f>H23</f>
        <v>9</v>
      </c>
      <c r="I24" s="172">
        <v>1</v>
      </c>
      <c r="J24" s="172">
        <v>0</v>
      </c>
      <c r="K24" s="163">
        <v>0</v>
      </c>
      <c r="L24" s="172">
        <f t="shared" si="0"/>
        <v>-1</v>
      </c>
      <c r="M24" s="143">
        <f t="shared" si="1"/>
        <v>1</v>
      </c>
      <c r="N24" s="163">
        <f t="shared" si="2"/>
        <v>-1</v>
      </c>
      <c r="O24" s="1588" t="s">
        <v>55</v>
      </c>
      <c r="P24" s="1587"/>
      <c r="Q24" s="178">
        <f>SUMSQ(G3:G26)-24*AVERAGE(F3:F26)^2</f>
        <v>229.65083333333234</v>
      </c>
      <c r="R24" s="164">
        <v>5</v>
      </c>
      <c r="S24" s="177">
        <f t="shared" si="3"/>
        <v>45.930166666666466</v>
      </c>
      <c r="T24" s="176" t="s">
        <v>54</v>
      </c>
      <c r="U24" s="175">
        <f>SQRT(S23)</f>
        <v>1.9418633662885854</v>
      </c>
      <c r="V24" s="151"/>
      <c r="Y24" s="163"/>
    </row>
    <row r="25" spans="1:46" ht="18" x14ac:dyDescent="0.25">
      <c r="A25" s="174">
        <v>23</v>
      </c>
      <c r="B25" s="172">
        <v>6</v>
      </c>
      <c r="C25" s="143" t="s">
        <v>2</v>
      </c>
      <c r="D25" s="143">
        <v>1</v>
      </c>
      <c r="E25" s="163">
        <v>-1</v>
      </c>
      <c r="F25" s="165">
        <v>12.3</v>
      </c>
      <c r="G25" s="165">
        <v>10.712499999999995</v>
      </c>
      <c r="H25" s="173">
        <f>H24</f>
        <v>9</v>
      </c>
      <c r="I25" s="172">
        <v>1</v>
      </c>
      <c r="J25" s="172">
        <v>0</v>
      </c>
      <c r="K25" s="163">
        <v>0</v>
      </c>
      <c r="L25" s="172">
        <f t="shared" si="0"/>
        <v>1</v>
      </c>
      <c r="M25" s="143">
        <f t="shared" si="1"/>
        <v>-1</v>
      </c>
      <c r="N25" s="143">
        <f t="shared" si="2"/>
        <v>-1</v>
      </c>
      <c r="O25" s="1598" t="s">
        <v>53</v>
      </c>
      <c r="P25" s="1599"/>
      <c r="Q25" s="170">
        <f>SUMSQ(F3:F26)-SUMSQ(G3:G26)</f>
        <v>37.78250000000105</v>
      </c>
      <c r="R25" s="151">
        <f>R23+R21</f>
        <v>18</v>
      </c>
      <c r="S25" s="151">
        <f t="shared" si="3"/>
        <v>2.0990277777778363</v>
      </c>
      <c r="T25" s="169" t="s">
        <v>52</v>
      </c>
      <c r="U25" s="168">
        <f>Q24/Q26</f>
        <v>0.85872179982549779</v>
      </c>
      <c r="V25" s="167" t="str">
        <f>IF(U25&lt;=0.05,"*","")</f>
        <v/>
      </c>
      <c r="X25" s="144"/>
      <c r="Y25" s="166"/>
    </row>
    <row r="26" spans="1:46" x14ac:dyDescent="0.2">
      <c r="A26" s="162">
        <v>24</v>
      </c>
      <c r="B26" s="160">
        <v>6</v>
      </c>
      <c r="C26" s="150" t="s">
        <v>2</v>
      </c>
      <c r="D26" s="150">
        <v>1</v>
      </c>
      <c r="E26" s="149">
        <v>1</v>
      </c>
      <c r="F26" s="152">
        <v>8.3000000000000007</v>
      </c>
      <c r="G26" s="152">
        <v>10.49583333333333</v>
      </c>
      <c r="H26" s="161">
        <f>H25</f>
        <v>9</v>
      </c>
      <c r="I26" s="160">
        <v>1</v>
      </c>
      <c r="J26" s="160">
        <v>0</v>
      </c>
      <c r="K26" s="149">
        <v>0</v>
      </c>
      <c r="L26" s="160">
        <f t="shared" si="0"/>
        <v>1</v>
      </c>
      <c r="M26" s="150">
        <f t="shared" si="1"/>
        <v>1</v>
      </c>
      <c r="N26" s="150">
        <f t="shared" si="2"/>
        <v>1</v>
      </c>
      <c r="O26" s="1592" t="s">
        <v>7</v>
      </c>
      <c r="P26" s="1593"/>
      <c r="Q26" s="159">
        <f>Q25+Q24</f>
        <v>267.43333333333339</v>
      </c>
      <c r="R26" s="151">
        <f>24-1</f>
        <v>23</v>
      </c>
      <c r="S26" s="150">
        <f>Q25/R25</f>
        <v>2.0990277777778363</v>
      </c>
      <c r="T26" s="158" t="s">
        <v>51</v>
      </c>
      <c r="U26" s="157">
        <f>SQRT(S26)</f>
        <v>1.4488021872491208</v>
      </c>
      <c r="V26" s="156" t="str">
        <f>IF(U26&lt;=0.05,"*","")</f>
        <v/>
      </c>
      <c r="W26" s="155"/>
      <c r="X26" s="155"/>
      <c r="Y26" s="154"/>
    </row>
    <row r="28" spans="1:46" x14ac:dyDescent="0.2">
      <c r="F28" s="148"/>
      <c r="Q28" s="147"/>
      <c r="AQ28" s="144"/>
      <c r="AR28" s="144"/>
      <c r="AS28" s="144"/>
      <c r="AT28" s="144"/>
    </row>
    <row r="29" spans="1:46" x14ac:dyDescent="0.2">
      <c r="K29" s="144"/>
      <c r="L29" s="144"/>
      <c r="M29" s="144"/>
      <c r="N29" s="144"/>
      <c r="Q29" s="146"/>
      <c r="W29" s="144"/>
      <c r="X29" s="144"/>
      <c r="Y29" s="144"/>
      <c r="AQ29" s="144"/>
      <c r="AR29" s="144"/>
      <c r="AS29" s="144"/>
      <c r="AT29" s="144"/>
    </row>
    <row r="30" spans="1:46" x14ac:dyDescent="0.2">
      <c r="K30" s="144"/>
      <c r="L30" s="144"/>
      <c r="M30" s="144"/>
      <c r="N30" s="144"/>
      <c r="W30" s="144"/>
      <c r="X30" s="144"/>
      <c r="Y30" s="144"/>
      <c r="AQ30" s="144"/>
      <c r="AR30" s="144"/>
      <c r="AS30" s="144"/>
      <c r="AT30" s="144"/>
    </row>
    <row r="31" spans="1:46" x14ac:dyDescent="0.2">
      <c r="K31" s="144"/>
      <c r="L31" s="144"/>
      <c r="M31" s="144"/>
      <c r="N31" s="144"/>
      <c r="Q31" s="146"/>
      <c r="W31" s="144"/>
      <c r="X31" s="144"/>
      <c r="Y31" s="144"/>
      <c r="AQ31" s="144"/>
      <c r="AR31" s="144"/>
      <c r="AS31" s="144"/>
      <c r="AT31" s="144"/>
    </row>
    <row r="32" spans="1:46" x14ac:dyDescent="0.2">
      <c r="K32" s="144"/>
      <c r="L32" s="144"/>
      <c r="M32" s="144"/>
      <c r="N32" s="144"/>
      <c r="W32" s="144"/>
      <c r="X32" s="144"/>
      <c r="Y32" s="144"/>
      <c r="AQ32" s="144"/>
      <c r="AR32" s="144"/>
      <c r="AS32" s="144"/>
      <c r="AT32" s="144"/>
    </row>
    <row r="33" spans="11:46" x14ac:dyDescent="0.2">
      <c r="K33" s="144"/>
      <c r="L33" s="144"/>
      <c r="M33" s="144"/>
      <c r="N33" s="144"/>
      <c r="W33" s="144"/>
      <c r="X33" s="144"/>
      <c r="Y33" s="144"/>
      <c r="AQ33" s="144"/>
      <c r="AR33" s="144"/>
      <c r="AS33" s="144"/>
      <c r="AT33" s="144"/>
    </row>
    <row r="34" spans="11:46" x14ac:dyDescent="0.2">
      <c r="W34" s="144"/>
      <c r="X34" s="144"/>
      <c r="Y34" s="144"/>
      <c r="AQ34" s="144"/>
      <c r="AR34" s="144"/>
      <c r="AS34" s="144"/>
      <c r="AT34" s="144"/>
    </row>
    <row r="35" spans="11:46" x14ac:dyDescent="0.2">
      <c r="W35" s="144"/>
      <c r="X35" s="144"/>
      <c r="Y35" s="144"/>
      <c r="AQ35" s="144"/>
      <c r="AR35" s="144"/>
      <c r="AS35" s="144"/>
      <c r="AT35" s="144"/>
    </row>
    <row r="36" spans="11:46" x14ac:dyDescent="0.2">
      <c r="W36" s="144"/>
      <c r="X36" s="144"/>
      <c r="Y36" s="144"/>
      <c r="AQ36" s="144"/>
      <c r="AR36" s="144"/>
      <c r="AS36" s="144"/>
      <c r="AT36" s="144"/>
    </row>
    <row r="37" spans="11:46" x14ac:dyDescent="0.2">
      <c r="W37" s="144"/>
      <c r="X37" s="144"/>
      <c r="Y37" s="144"/>
      <c r="AQ37" s="144"/>
      <c r="AR37" s="144"/>
      <c r="AS37" s="144"/>
      <c r="AT37" s="144"/>
    </row>
    <row r="38" spans="11:46" x14ac:dyDescent="0.2">
      <c r="W38" s="144"/>
      <c r="X38" s="144"/>
      <c r="Y38" s="144"/>
      <c r="AQ38" s="144"/>
      <c r="AR38" s="144"/>
      <c r="AS38" s="144"/>
      <c r="AT38" s="144"/>
    </row>
    <row r="39" spans="11:46" x14ac:dyDescent="0.2">
      <c r="AQ39" s="144"/>
      <c r="AR39" s="144"/>
      <c r="AS39" s="144"/>
      <c r="AT39" s="144"/>
    </row>
    <row r="40" spans="11:46" x14ac:dyDescent="0.2">
      <c r="AQ40" s="144"/>
      <c r="AR40" s="144"/>
      <c r="AS40" s="144"/>
      <c r="AT40" s="144"/>
    </row>
    <row r="41" spans="11:46" x14ac:dyDescent="0.2">
      <c r="AQ41" s="144"/>
      <c r="AR41" s="144"/>
      <c r="AS41" s="144"/>
      <c r="AT41" s="144"/>
    </row>
    <row r="42" spans="11:46" x14ac:dyDescent="0.2">
      <c r="AQ42" s="144"/>
      <c r="AR42" s="144"/>
      <c r="AS42" s="144"/>
      <c r="AT42" s="144"/>
    </row>
    <row r="43" spans="11:46" x14ac:dyDescent="0.2">
      <c r="AQ43" s="144"/>
      <c r="AR43" s="144"/>
      <c r="AS43" s="144"/>
      <c r="AT43" s="144"/>
    </row>
    <row r="44" spans="11:46" x14ac:dyDescent="0.2">
      <c r="AQ44" s="144"/>
      <c r="AR44" s="144"/>
      <c r="AS44" s="144"/>
      <c r="AT44" s="144"/>
    </row>
    <row r="45" spans="11:46" x14ac:dyDescent="0.2">
      <c r="AQ45" s="144"/>
      <c r="AR45" s="144"/>
      <c r="AS45" s="144"/>
      <c r="AT45" s="144"/>
    </row>
    <row r="46" spans="11:46" x14ac:dyDescent="0.2">
      <c r="AQ46" s="144"/>
      <c r="AR46" s="144"/>
      <c r="AS46" s="144"/>
      <c r="AT46" s="144"/>
    </row>
    <row r="47" spans="11:46" x14ac:dyDescent="0.2">
      <c r="AQ47" s="144"/>
      <c r="AR47" s="144"/>
      <c r="AS47" s="144"/>
      <c r="AT47" s="144"/>
    </row>
    <row r="48" spans="11:46" x14ac:dyDescent="0.2">
      <c r="AQ48" s="144"/>
      <c r="AR48" s="144"/>
      <c r="AS48" s="144"/>
      <c r="AT48" s="144"/>
    </row>
    <row r="49" spans="43:46" x14ac:dyDescent="0.2">
      <c r="AQ49" s="144"/>
      <c r="AR49" s="144"/>
      <c r="AS49" s="144"/>
      <c r="AT49" s="144"/>
    </row>
    <row r="50" spans="43:46" x14ac:dyDescent="0.2">
      <c r="AQ50" s="144"/>
      <c r="AR50" s="144"/>
      <c r="AS50" s="144"/>
      <c r="AT50" s="144"/>
    </row>
    <row r="51" spans="43:46" x14ac:dyDescent="0.2">
      <c r="AQ51" s="144"/>
      <c r="AR51" s="144"/>
      <c r="AS51" s="144"/>
      <c r="AT51" s="144"/>
    </row>
    <row r="52" spans="43:46" x14ac:dyDescent="0.2">
      <c r="AQ52" s="144"/>
      <c r="AR52" s="144"/>
      <c r="AS52" s="144"/>
      <c r="AT52" s="144"/>
    </row>
    <row r="53" spans="43:46" x14ac:dyDescent="0.2">
      <c r="AQ53" s="144"/>
      <c r="AR53" s="144"/>
      <c r="AS53" s="144"/>
      <c r="AT53" s="144"/>
    </row>
    <row r="54" spans="43:46" x14ac:dyDescent="0.2">
      <c r="AQ54" s="144"/>
      <c r="AR54" s="144"/>
      <c r="AS54" s="144"/>
      <c r="AT54" s="144"/>
    </row>
    <row r="55" spans="43:46" x14ac:dyDescent="0.2">
      <c r="AQ55" s="144"/>
      <c r="AR55" s="144"/>
      <c r="AS55" s="144"/>
      <c r="AT55" s="144"/>
    </row>
    <row r="56" spans="43:46" x14ac:dyDescent="0.2">
      <c r="AQ56" s="144"/>
      <c r="AR56" s="144"/>
      <c r="AS56" s="144"/>
      <c r="AT56" s="144"/>
    </row>
    <row r="57" spans="43:46" x14ac:dyDescent="0.2">
      <c r="AQ57" s="144"/>
      <c r="AR57" s="144"/>
      <c r="AS57" s="144"/>
      <c r="AT57" s="144"/>
    </row>
    <row r="58" spans="43:46" x14ac:dyDescent="0.2">
      <c r="AQ58" s="144"/>
      <c r="AR58" s="144"/>
      <c r="AS58" s="144"/>
      <c r="AT58" s="144"/>
    </row>
    <row r="59" spans="43:46" x14ac:dyDescent="0.2">
      <c r="AQ59" s="144"/>
      <c r="AR59" s="144"/>
      <c r="AS59" s="144"/>
      <c r="AT59" s="144"/>
    </row>
    <row r="60" spans="43:46" x14ac:dyDescent="0.2">
      <c r="AQ60" s="144"/>
      <c r="AR60" s="144"/>
      <c r="AS60" s="144"/>
      <c r="AT60" s="144"/>
    </row>
    <row r="61" spans="43:46" x14ac:dyDescent="0.2">
      <c r="AQ61" s="144"/>
      <c r="AR61" s="144"/>
      <c r="AS61" s="144"/>
      <c r="AT61" s="144"/>
    </row>
    <row r="62" spans="43:46" x14ac:dyDescent="0.2">
      <c r="AQ62" s="144"/>
      <c r="AR62" s="144"/>
      <c r="AS62" s="144"/>
      <c r="AT62" s="144"/>
    </row>
    <row r="63" spans="43:46" x14ac:dyDescent="0.2">
      <c r="AQ63" s="144"/>
      <c r="AR63" s="144"/>
      <c r="AS63" s="144"/>
      <c r="AT63" s="144"/>
    </row>
    <row r="64" spans="43:46" x14ac:dyDescent="0.2">
      <c r="AQ64" s="144"/>
      <c r="AR64" s="144"/>
      <c r="AS64" s="144"/>
      <c r="AT64" s="144"/>
    </row>
    <row r="65" spans="43:46" x14ac:dyDescent="0.2">
      <c r="AQ65" s="144"/>
      <c r="AR65" s="144"/>
      <c r="AS65" s="144"/>
      <c r="AT65" s="144"/>
    </row>
    <row r="66" spans="43:46" x14ac:dyDescent="0.2">
      <c r="AQ66" s="144"/>
      <c r="AR66" s="144"/>
      <c r="AS66" s="144"/>
      <c r="AT66" s="144"/>
    </row>
    <row r="67" spans="43:46" x14ac:dyDescent="0.2">
      <c r="AQ67" s="144"/>
      <c r="AR67" s="144"/>
      <c r="AS67" s="144"/>
      <c r="AT67" s="144"/>
    </row>
    <row r="68" spans="43:46" x14ac:dyDescent="0.2">
      <c r="AQ68" s="144"/>
      <c r="AR68" s="144"/>
      <c r="AS68" s="144"/>
      <c r="AT68" s="144"/>
    </row>
    <row r="69" spans="43:46" x14ac:dyDescent="0.2">
      <c r="AQ69" s="144"/>
      <c r="AR69" s="144"/>
      <c r="AS69" s="144"/>
      <c r="AT69" s="144"/>
    </row>
    <row r="70" spans="43:46" x14ac:dyDescent="0.2">
      <c r="AQ70" s="144"/>
      <c r="AR70" s="144"/>
      <c r="AS70" s="144"/>
      <c r="AT70" s="144"/>
    </row>
    <row r="71" spans="43:46" x14ac:dyDescent="0.2">
      <c r="AQ71" s="144"/>
      <c r="AR71" s="144"/>
      <c r="AS71" s="144"/>
      <c r="AT71" s="144"/>
    </row>
    <row r="72" spans="43:46" x14ac:dyDescent="0.2">
      <c r="AQ72" s="144"/>
      <c r="AR72" s="144"/>
      <c r="AS72" s="144"/>
      <c r="AT72" s="144"/>
    </row>
    <row r="73" spans="43:46" x14ac:dyDescent="0.2">
      <c r="AQ73" s="144"/>
      <c r="AR73" s="144"/>
      <c r="AS73" s="144"/>
      <c r="AT73" s="144"/>
    </row>
    <row r="74" spans="43:46" x14ac:dyDescent="0.2">
      <c r="AQ74" s="144"/>
      <c r="AR74" s="144"/>
      <c r="AS74" s="144"/>
      <c r="AT74" s="144"/>
    </row>
    <row r="75" spans="43:46" x14ac:dyDescent="0.2">
      <c r="AQ75" s="144"/>
      <c r="AR75" s="144"/>
      <c r="AS75" s="144"/>
      <c r="AT75" s="144"/>
    </row>
    <row r="76" spans="43:46" x14ac:dyDescent="0.2">
      <c r="AQ76" s="144"/>
      <c r="AR76" s="144"/>
      <c r="AS76" s="144"/>
      <c r="AT76" s="144"/>
    </row>
  </sheetData>
  <mergeCells count="23">
    <mergeCell ref="O26:P26"/>
    <mergeCell ref="O20:P20"/>
    <mergeCell ref="O23:P23"/>
    <mergeCell ref="O21:P21"/>
    <mergeCell ref="O25:P25"/>
    <mergeCell ref="O24:P24"/>
    <mergeCell ref="W18:Y18"/>
    <mergeCell ref="W19:Y19"/>
    <mergeCell ref="O22:P22"/>
    <mergeCell ref="O17:P17"/>
    <mergeCell ref="O18:P18"/>
    <mergeCell ref="O19:P19"/>
    <mergeCell ref="W20:Y20"/>
    <mergeCell ref="A1:F1"/>
    <mergeCell ref="I1:N1"/>
    <mergeCell ref="O1:T1"/>
    <mergeCell ref="U1:U2"/>
    <mergeCell ref="W17:Y17"/>
    <mergeCell ref="O16:P16"/>
    <mergeCell ref="W9:Y9"/>
    <mergeCell ref="W16:Y16"/>
    <mergeCell ref="O9:T9"/>
    <mergeCell ref="V1:V2"/>
  </mergeCells>
  <conditionalFormatting sqref="O3:T8 O10:T15">
    <cfRule type="cellIs" dxfId="14" priority="1" operator="between">
      <formula>-0.0001</formula>
      <formula>0.0001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464F4-1DFF-46FA-BCDB-F2F609F5C3C6}">
  <dimension ref="A1:Y39"/>
  <sheetViews>
    <sheetView zoomScaleNormal="100" workbookViewId="0">
      <selection activeCell="A2" sqref="A1:A1048576"/>
    </sheetView>
  </sheetViews>
  <sheetFormatPr baseColWidth="10" defaultColWidth="5.83203125" defaultRowHeight="15" customHeight="1" x14ac:dyDescent="0.2"/>
  <cols>
    <col min="1" max="3" width="5.83203125" style="94"/>
    <col min="4" max="4" width="5.83203125" style="1"/>
    <col min="5" max="5" width="5.83203125" style="1" customWidth="1"/>
    <col min="6" max="7" width="5.83203125" style="1"/>
    <col min="8" max="8" width="5.83203125" style="94"/>
    <col min="9" max="13" width="5.83203125" style="1"/>
    <col min="14" max="14" width="5.83203125" style="1" customWidth="1"/>
    <col min="15" max="19" width="5.83203125" style="1"/>
    <col min="20" max="20" width="5.83203125" style="1" customWidth="1"/>
    <col min="21" max="22" width="5.83203125" style="102" customWidth="1"/>
    <col min="23" max="23" width="5.83203125" style="1"/>
    <col min="24" max="25" width="5.83203125" style="1" customWidth="1"/>
    <col min="26" max="16384" width="5.83203125" style="1"/>
  </cols>
  <sheetData>
    <row r="1" spans="1:25" ht="15" customHeight="1" x14ac:dyDescent="0.2">
      <c r="A1" s="1314" t="s">
        <v>8</v>
      </c>
      <c r="B1" s="1602"/>
      <c r="C1" s="1602"/>
      <c r="D1" s="1602"/>
      <c r="E1" s="1475"/>
      <c r="F1" s="1314" t="s">
        <v>9</v>
      </c>
      <c r="G1" s="1603"/>
      <c r="H1" s="1603"/>
      <c r="I1" s="1603"/>
      <c r="J1" s="1603"/>
      <c r="K1" s="1603"/>
      <c r="L1" s="1603"/>
      <c r="M1" s="1603"/>
      <c r="N1" s="1603"/>
      <c r="O1" s="1603"/>
      <c r="P1" s="1603"/>
      <c r="Q1" s="1603"/>
      <c r="R1" s="1603"/>
      <c r="S1" s="1603"/>
      <c r="T1" s="1603"/>
      <c r="U1" s="1603"/>
      <c r="V1" s="1603"/>
      <c r="W1" s="1603"/>
      <c r="X1" s="1603"/>
      <c r="Y1" s="1604"/>
    </row>
    <row r="2" spans="1:25" ht="15" customHeight="1" x14ac:dyDescent="0.2">
      <c r="A2" s="1605" t="s">
        <v>10</v>
      </c>
      <c r="B2" s="1607" t="s">
        <v>11</v>
      </c>
      <c r="C2" s="1608"/>
      <c r="D2" s="1357" t="s">
        <v>12</v>
      </c>
      <c r="E2" s="1360"/>
      <c r="F2" s="1609" t="s">
        <v>13</v>
      </c>
      <c r="G2" s="1351"/>
      <c r="H2" s="1369" t="s">
        <v>14</v>
      </c>
      <c r="I2" s="1600"/>
      <c r="J2" s="1600"/>
      <c r="K2" s="1600"/>
      <c r="L2" s="1601"/>
      <c r="M2" s="1369" t="s">
        <v>15</v>
      </c>
      <c r="N2" s="1600"/>
      <c r="O2" s="1600"/>
      <c r="P2" s="1600"/>
      <c r="Q2" s="1601"/>
      <c r="R2" s="1369" t="s">
        <v>16</v>
      </c>
      <c r="S2" s="1348"/>
      <c r="T2" s="1357" t="s">
        <v>17</v>
      </c>
      <c r="U2" s="1346"/>
      <c r="V2" s="1346"/>
      <c r="W2" s="1346"/>
      <c r="X2" s="1346"/>
      <c r="Y2" s="1360"/>
    </row>
    <row r="3" spans="1:25" ht="30" customHeight="1" x14ac:dyDescent="0.2">
      <c r="A3" s="1606"/>
      <c r="B3" s="14" t="s">
        <v>18</v>
      </c>
      <c r="C3" s="15" t="s">
        <v>19</v>
      </c>
      <c r="D3" s="16" t="s">
        <v>20</v>
      </c>
      <c r="E3" s="17" t="s">
        <v>19</v>
      </c>
      <c r="F3" s="16" t="s">
        <v>20</v>
      </c>
      <c r="G3" s="17" t="s">
        <v>19</v>
      </c>
      <c r="H3" s="10">
        <v>0</v>
      </c>
      <c r="I3" s="18">
        <v>1</v>
      </c>
      <c r="J3" s="19">
        <v>2</v>
      </c>
      <c r="K3" s="19">
        <v>3</v>
      </c>
      <c r="L3" s="20">
        <v>4</v>
      </c>
      <c r="M3" s="10">
        <v>0</v>
      </c>
      <c r="N3" s="18">
        <v>1</v>
      </c>
      <c r="O3" s="19">
        <v>2</v>
      </c>
      <c r="P3" s="19">
        <v>3</v>
      </c>
      <c r="Q3" s="20">
        <v>4</v>
      </c>
      <c r="R3" s="21" t="s">
        <v>20</v>
      </c>
      <c r="S3" s="22" t="s">
        <v>19</v>
      </c>
      <c r="T3" s="23" t="s">
        <v>21</v>
      </c>
      <c r="U3" s="24" t="s">
        <v>22</v>
      </c>
      <c r="V3" s="24" t="s">
        <v>23</v>
      </c>
      <c r="W3" s="23" t="s">
        <v>24</v>
      </c>
      <c r="X3" s="25" t="s">
        <v>25</v>
      </c>
      <c r="Y3" s="20" t="s">
        <v>26</v>
      </c>
    </row>
    <row r="4" spans="1:25" ht="15" customHeight="1" x14ac:dyDescent="0.2">
      <c r="A4" s="26">
        <v>1</v>
      </c>
      <c r="B4" s="27">
        <v>0.4</v>
      </c>
      <c r="C4" s="28">
        <f>B4/B$17</f>
        <v>9.3023255813953501E-2</v>
      </c>
      <c r="D4" s="29">
        <v>193</v>
      </c>
      <c r="E4" s="30">
        <f t="shared" ref="E4" si="0">D4/y_max</f>
        <v>0.71301737646470897</v>
      </c>
      <c r="F4" s="31">
        <f t="array" ref="F4:F17">MMULT(X,Y27:Y31)</f>
        <v>193.2794117643657</v>
      </c>
      <c r="G4" s="30">
        <f t="shared" ref="G4:G17" si="1">F4/G$19</f>
        <v>0.71404963264699606</v>
      </c>
      <c r="H4" s="34">
        <v>1</v>
      </c>
      <c r="I4" s="35">
        <f>$C4^I$3</f>
        <v>9.3023255813953501E-2</v>
      </c>
      <c r="J4" s="36">
        <f t="shared" ref="J4:L17" si="2">$C4^J$3</f>
        <v>8.6533261222282339E-3</v>
      </c>
      <c r="K4" s="36">
        <f t="shared" si="2"/>
        <v>8.0496056950960329E-4</v>
      </c>
      <c r="L4" s="37">
        <f t="shared" si="2"/>
        <v>7.4880052977637523E-5</v>
      </c>
      <c r="M4" s="38">
        <v>1</v>
      </c>
      <c r="N4" s="39">
        <v>0</v>
      </c>
      <c r="O4" s="40">
        <f>N4^2</f>
        <v>0</v>
      </c>
      <c r="P4" s="40">
        <f>N4^3</f>
        <v>0</v>
      </c>
      <c r="Q4" s="41">
        <f>N4^4</f>
        <v>0</v>
      </c>
      <c r="R4" s="42">
        <f t="array" ref="R4:R24">MMULT(M4:Q24,Y27:Y31)</f>
        <v>151.40342887521547</v>
      </c>
      <c r="S4" s="44">
        <f t="shared" ref="S4" si="3">R4/y_max</f>
        <v>0.55934339712107406</v>
      </c>
      <c r="T4" s="45">
        <f t="array" ref="T4">SQRT(MMULT(MMULT(M4:Q4,MINVERSE(XTX)),TRANSPOSE(M4:Q4))*$D$21)*$F$23</f>
        <v>18.365155593925643</v>
      </c>
      <c r="U4" s="46">
        <f t="shared" ref="U4" si="4">(R4-T4)/y_max</f>
        <v>0.49149533981564902</v>
      </c>
      <c r="V4" s="46">
        <f t="shared" ref="V4" si="5">(R4+T4)/y_max</f>
        <v>0.62719145442649915</v>
      </c>
      <c r="W4" s="45">
        <f t="array" ref="W4">SQRT((MMULT(MMULT(M4:Q4,MINVERSE(XTX)),TRANSPOSE(M4:Q4))+1)*$D$21)*$F$23</f>
        <v>19.471729260314451</v>
      </c>
      <c r="X4" s="47">
        <f t="shared" ref="X4" si="6">(R4-W4)/y_max</f>
        <v>0.48740722451785895</v>
      </c>
      <c r="Y4" s="48">
        <f t="shared" ref="Y4" si="7">(R4+W4)/y_max</f>
        <v>0.63127956972428922</v>
      </c>
    </row>
    <row r="5" spans="1:25" ht="15" customHeight="1" x14ac:dyDescent="0.2">
      <c r="A5" s="49">
        <v>2</v>
      </c>
      <c r="B5" s="50">
        <v>0.7</v>
      </c>
      <c r="C5" s="51">
        <f t="shared" ref="C5:C17" si="8">B5/B$17</f>
        <v>0.16279069767441859</v>
      </c>
      <c r="D5" s="52">
        <v>220</v>
      </c>
      <c r="E5" s="53">
        <f t="shared" ref="E5" si="9">D5/y_max</f>
        <v>0.8127659213587356</v>
      </c>
      <c r="F5" s="32">
        <v>219.22511312186256</v>
      </c>
      <c r="G5" s="53">
        <f t="shared" si="1"/>
        <v>0.80990318659756211</v>
      </c>
      <c r="H5" s="34">
        <v>1</v>
      </c>
      <c r="I5" s="35">
        <f t="shared" ref="I5:I17" si="10">$C5^I$3</f>
        <v>0.16279069767441859</v>
      </c>
      <c r="J5" s="36">
        <f t="shared" si="2"/>
        <v>2.6500811249323953E-2</v>
      </c>
      <c r="K5" s="36">
        <f t="shared" si="2"/>
        <v>4.3140855522155264E-3</v>
      </c>
      <c r="L5" s="37">
        <f t="shared" si="2"/>
        <v>7.0229299687229498E-4</v>
      </c>
      <c r="M5" s="34">
        <v>1</v>
      </c>
      <c r="N5" s="54">
        <f>N4+0.05</f>
        <v>0.05</v>
      </c>
      <c r="O5" s="36">
        <f t="shared" ref="O5:O24" si="11">N5^2</f>
        <v>2.5000000000000005E-3</v>
      </c>
      <c r="P5" s="36">
        <f t="shared" ref="P5:P24" si="12">N5^3</f>
        <v>1.2500000000000003E-4</v>
      </c>
      <c r="Q5" s="37">
        <f t="shared" ref="Q5:Q24" si="13">N5^4</f>
        <v>6.2500000000000028E-6</v>
      </c>
      <c r="R5" s="42">
        <v>174.87857575633532</v>
      </c>
      <c r="S5" s="44">
        <f t="shared" ref="S5" si="14">R5/y_max</f>
        <v>0.6460697579568242</v>
      </c>
      <c r="T5" s="55">
        <f t="array" ref="T5">SQRT(MMULT(MMULT(M5:Q5,MINVERSE(XTX)),TRANSPOSE(M5:Q5))*$D$21)*$F$23</f>
        <v>10.29636754091721</v>
      </c>
      <c r="U5" s="44">
        <f t="shared" ref="U5" si="15">(R5-T5)/y_max</f>
        <v>0.60803095499754356</v>
      </c>
      <c r="V5" s="44">
        <f t="shared" ref="V5" si="16">(R5+T5)/y_max</f>
        <v>0.68410856091610484</v>
      </c>
      <c r="W5" s="55">
        <f t="array" ref="W5">SQRT((MMULT(MMULT(M5:Q5,MINVERSE(XTX)),TRANSPOSE(M5:Q5))+1)*$D$21)*$F$23</f>
        <v>12.16077649393908</v>
      </c>
      <c r="X5" s="56">
        <f t="shared" ref="X5" si="17">(R5-W5)/y_max</f>
        <v>0.60114310017712402</v>
      </c>
      <c r="Y5" s="57">
        <f t="shared" ref="Y5" si="18">(R5+W5)/y_max</f>
        <v>0.69099641573652437</v>
      </c>
    </row>
    <row r="6" spans="1:25" ht="15" customHeight="1" x14ac:dyDescent="0.2">
      <c r="A6" s="49">
        <v>3</v>
      </c>
      <c r="B6" s="50">
        <v>1</v>
      </c>
      <c r="C6" s="51">
        <f t="shared" si="8"/>
        <v>0.23255813953488372</v>
      </c>
      <c r="D6" s="52">
        <v>241</v>
      </c>
      <c r="E6" s="53">
        <f t="shared" ref="E6" si="19">D6/y_max</f>
        <v>0.8903481229429786</v>
      </c>
      <c r="F6" s="32">
        <v>240.00452488656956</v>
      </c>
      <c r="G6" s="53">
        <f t="shared" si="1"/>
        <v>0.88667044908953774</v>
      </c>
      <c r="H6" s="34">
        <v>1</v>
      </c>
      <c r="I6" s="35">
        <f t="shared" si="10"/>
        <v>0.23255813953488372</v>
      </c>
      <c r="J6" s="36">
        <f t="shared" si="2"/>
        <v>5.4083288263926443E-2</v>
      </c>
      <c r="K6" s="36">
        <f t="shared" si="2"/>
        <v>1.2577508898587544E-2</v>
      </c>
      <c r="L6" s="37">
        <f t="shared" si="2"/>
        <v>2.9250020694389636E-3</v>
      </c>
      <c r="M6" s="34">
        <v>1</v>
      </c>
      <c r="N6" s="54">
        <f t="shared" ref="N6:N24" si="20">N5+0.05</f>
        <v>0.1</v>
      </c>
      <c r="O6" s="36">
        <f t="shared" si="11"/>
        <v>1.0000000000000002E-2</v>
      </c>
      <c r="P6" s="36">
        <f t="shared" si="12"/>
        <v>1.0000000000000002E-3</v>
      </c>
      <c r="Q6" s="37">
        <f t="shared" si="13"/>
        <v>1.0000000000000005E-4</v>
      </c>
      <c r="R6" s="42">
        <v>196.09606363345705</v>
      </c>
      <c r="S6" s="44">
        <f t="shared" ref="S6" si="21">R6/y_max</f>
        <v>0.72445544469939982</v>
      </c>
      <c r="T6" s="55">
        <f t="array" ref="T6">SQRT(MMULT(MMULT(M6:Q6,MINVERSE(XTX)),TRANSPOSE(M6:Q6))*$D$21)*$F$23</f>
        <v>5.483291560077066</v>
      </c>
      <c r="U6" s="44">
        <f t="shared" ref="U6" si="22">(R6-T6)/y_max</f>
        <v>0.70419802416801525</v>
      </c>
      <c r="V6" s="44">
        <f t="shared" ref="V6" si="23">(R6+T6)/y_max</f>
        <v>0.7447128652307845</v>
      </c>
      <c r="W6" s="55">
        <f t="array" ref="W6">SQRT((MMULT(MMULT(M6:Q6,MINVERSE(XTX)),TRANSPOSE(M6:Q6))+1)*$D$21)*$F$23</f>
        <v>8.4814967270346884</v>
      </c>
      <c r="X6" s="56">
        <f t="shared" ref="X6" si="24">(R6-W6)/y_max</f>
        <v>0.6931214833273569</v>
      </c>
      <c r="Y6" s="57">
        <f t="shared" ref="Y6" si="25">(R6+W6)/y_max</f>
        <v>0.75578940607144274</v>
      </c>
    </row>
    <row r="7" spans="1:25" ht="15" customHeight="1" x14ac:dyDescent="0.2">
      <c r="A7" s="49">
        <v>4</v>
      </c>
      <c r="B7" s="50">
        <v>1.3</v>
      </c>
      <c r="C7" s="51">
        <f t="shared" si="8"/>
        <v>0.30232558139534887</v>
      </c>
      <c r="D7" s="52">
        <v>251</v>
      </c>
      <c r="E7" s="53">
        <f t="shared" ref="E7" si="26">D7/y_max</f>
        <v>0.92729202845928471</v>
      </c>
      <c r="F7" s="32">
        <v>255.39777869156555</v>
      </c>
      <c r="G7" s="53">
        <f t="shared" si="1"/>
        <v>0.94353914050556698</v>
      </c>
      <c r="H7" s="34">
        <v>1</v>
      </c>
      <c r="I7" s="35">
        <f t="shared" si="10"/>
        <v>0.30232558139534887</v>
      </c>
      <c r="J7" s="36">
        <f t="shared" si="2"/>
        <v>9.1400757166035712E-2</v>
      </c>
      <c r="K7" s="36">
        <f t="shared" si="2"/>
        <v>2.7632787050196846E-2</v>
      </c>
      <c r="L7" s="37">
        <f t="shared" si="2"/>
        <v>8.354098410524629E-3</v>
      </c>
      <c r="M7" s="34">
        <v>1</v>
      </c>
      <c r="N7" s="54">
        <f t="shared" si="20"/>
        <v>0.15000000000000002</v>
      </c>
      <c r="O7" s="36">
        <f t="shared" si="11"/>
        <v>2.2500000000000006E-2</v>
      </c>
      <c r="P7" s="36">
        <f t="shared" si="12"/>
        <v>3.3750000000000013E-3</v>
      </c>
      <c r="Q7" s="37">
        <f t="shared" si="13"/>
        <v>5.062500000000003E-4</v>
      </c>
      <c r="R7" s="42">
        <v>214.84543746930473</v>
      </c>
      <c r="S7" s="44">
        <f t="shared" ref="S7" si="27">R7/y_max</f>
        <v>0.7937229542475458</v>
      </c>
      <c r="T7" s="55">
        <f t="array" ref="T7">SQRT(MMULT(MMULT(M7:Q7,MINVERSE(XTX)),TRANSPOSE(M7:Q7))*$D$21)*$F$23</f>
        <v>3.7225124334725068</v>
      </c>
      <c r="U7" s="44">
        <f t="shared" ref="U7" si="28">(R7-T7)/y_max</f>
        <v>0.7799705394849975</v>
      </c>
      <c r="V7" s="44">
        <f t="shared" ref="V7" si="29">(R7+T7)/y_max</f>
        <v>0.80747536901009409</v>
      </c>
      <c r="W7" s="55">
        <f t="array" ref="W7">SQRT((MMULT(MMULT(M7:Q7,MINVERSE(XTX)),TRANSPOSE(M7:Q7))+1)*$D$21)*$F$23</f>
        <v>7.4650116687949746</v>
      </c>
      <c r="X7" s="56">
        <f t="shared" ref="X7" si="30">(R7-W7)/y_max</f>
        <v>0.76614428567053738</v>
      </c>
      <c r="Y7" s="57">
        <f t="shared" ref="Y7" si="31">(R7+W7)/y_max</f>
        <v>0.82130162282455421</v>
      </c>
    </row>
    <row r="8" spans="1:25" ht="15" customHeight="1" x14ac:dyDescent="0.2">
      <c r="A8" s="49">
        <v>5</v>
      </c>
      <c r="B8" s="50">
        <v>1.6</v>
      </c>
      <c r="C8" s="51">
        <f t="shared" si="8"/>
        <v>0.372093023255814</v>
      </c>
      <c r="D8" s="52">
        <v>268</v>
      </c>
      <c r="E8" s="53">
        <f t="shared" ref="E8" si="32">D8/y_max</f>
        <v>0.99009666783700523</v>
      </c>
      <c r="F8" s="32">
        <v>265.38512957593673</v>
      </c>
      <c r="G8" s="53">
        <f t="shared" si="1"/>
        <v>0.98043631524860753</v>
      </c>
      <c r="H8" s="34">
        <v>1</v>
      </c>
      <c r="I8" s="35">
        <f t="shared" si="10"/>
        <v>0.372093023255814</v>
      </c>
      <c r="J8" s="36">
        <f t="shared" si="2"/>
        <v>0.13845321795565174</v>
      </c>
      <c r="K8" s="36">
        <f t="shared" si="2"/>
        <v>5.151747644861461E-2</v>
      </c>
      <c r="L8" s="37">
        <f t="shared" si="2"/>
        <v>1.9169293562275206E-2</v>
      </c>
      <c r="M8" s="34">
        <v>1</v>
      </c>
      <c r="N8" s="54">
        <f t="shared" si="20"/>
        <v>0.2</v>
      </c>
      <c r="O8" s="36">
        <f t="shared" si="11"/>
        <v>4.0000000000000008E-2</v>
      </c>
      <c r="P8" s="36">
        <f t="shared" si="12"/>
        <v>8.0000000000000019E-3</v>
      </c>
      <c r="Q8" s="37">
        <f t="shared" si="13"/>
        <v>1.6000000000000007E-3</v>
      </c>
      <c r="R8" s="42">
        <v>230.96903405535085</v>
      </c>
      <c r="S8" s="44">
        <f t="shared" ref="S8" si="33">R8/y_max</f>
        <v>0.85328981713333829</v>
      </c>
      <c r="T8" s="55">
        <f t="array" ref="T8">SQRT(MMULT(MMULT(M8:Q8,MINVERSE(XTX)),TRANSPOSE(M8:Q8))*$D$21)*$F$23</f>
        <v>3.7013775633282924</v>
      </c>
      <c r="U8" s="44">
        <f t="shared" ref="U8" si="34">(R8-T8)/y_max</f>
        <v>0.83961548283536069</v>
      </c>
      <c r="V8" s="44">
        <f t="shared" ref="V8" si="35">(R8+T8)/y_max</f>
        <v>0.86696415143131589</v>
      </c>
      <c r="W8" s="55">
        <f t="array" ref="W8">SQRT((MMULT(MMULT(M8:Q8,MINVERSE(XTX)),TRANSPOSE(M8:Q8))+1)*$D$21)*$F$23</f>
        <v>7.4544950375057484</v>
      </c>
      <c r="X8" s="56">
        <f t="shared" ref="X8" si="36">(R8-W8)/y_max</f>
        <v>0.82575000109959973</v>
      </c>
      <c r="Y8" s="57">
        <f t="shared" ref="Y8" si="37">(R8+W8)/y_max</f>
        <v>0.88082963316707685</v>
      </c>
    </row>
    <row r="9" spans="1:25" ht="15" customHeight="1" x14ac:dyDescent="0.2">
      <c r="A9" s="49">
        <v>6</v>
      </c>
      <c r="B9" s="50">
        <v>1.9</v>
      </c>
      <c r="C9" s="51">
        <f t="shared" si="8"/>
        <v>0.44186046511627908</v>
      </c>
      <c r="D9" s="52">
        <v>271</v>
      </c>
      <c r="E9" s="53">
        <f t="shared" ref="E9" si="38">D9/y_max</f>
        <v>1.0011798394918971</v>
      </c>
      <c r="F9" s="32">
        <v>270.14695598477658</v>
      </c>
      <c r="G9" s="53">
        <f t="shared" si="1"/>
        <v>0.99802836174193066</v>
      </c>
      <c r="H9" s="34">
        <v>1</v>
      </c>
      <c r="I9" s="35">
        <f t="shared" si="10"/>
        <v>0.44186046511627908</v>
      </c>
      <c r="J9" s="36">
        <f t="shared" si="2"/>
        <v>0.19524067063277448</v>
      </c>
      <c r="K9" s="36">
        <f t="shared" si="2"/>
        <v>8.6269133535411976E-2</v>
      </c>
      <c r="L9" s="37">
        <f t="shared" si="2"/>
        <v>3.8118919469135523E-2</v>
      </c>
      <c r="M9" s="34">
        <v>1</v>
      </c>
      <c r="N9" s="54">
        <f t="shared" si="20"/>
        <v>0.25</v>
      </c>
      <c r="O9" s="36">
        <f t="shared" si="11"/>
        <v>6.25E-2</v>
      </c>
      <c r="P9" s="36">
        <f t="shared" si="12"/>
        <v>1.5625E-2</v>
      </c>
      <c r="Q9" s="37">
        <f t="shared" si="13"/>
        <v>3.90625E-3</v>
      </c>
      <c r="R9" s="42">
        <v>244.36198201181651</v>
      </c>
      <c r="S9" s="44">
        <f t="shared" ref="S9" si="39">R9/y_max</f>
        <v>0.90276859752218552</v>
      </c>
      <c r="T9" s="55">
        <f t="array" ref="T9">SQRT(MMULT(MMULT(M9:Q9,MINVERSE(XTX)),TRANSPOSE(M9:Q9))*$D$21)*$F$23</f>
        <v>3.7479379113390938</v>
      </c>
      <c r="U9" s="44">
        <f t="shared" ref="U9" si="40">(R9-T9)/y_max</f>
        <v>0.88892225111443612</v>
      </c>
      <c r="V9" s="44">
        <f t="shared" ref="V9" si="41">(R9+T9)/y_max</f>
        <v>0.91661494392993492</v>
      </c>
      <c r="W9" s="55">
        <f t="array" ref="W9">SQRT((MMULT(MMULT(M9:Q9,MINVERSE(XTX)),TRANSPOSE(M9:Q9))+1)*$D$21)*$F$23</f>
        <v>7.477722847574694</v>
      </c>
      <c r="X9" s="56">
        <f t="shared" ref="X9" si="42">(R9-W9)/y_max</f>
        <v>0.87514296888639331</v>
      </c>
      <c r="Y9" s="57">
        <f t="shared" ref="Y9" si="43">(R9+W9)/y_max</f>
        <v>0.93039422615797784</v>
      </c>
    </row>
    <row r="10" spans="1:25" ht="15" customHeight="1" x14ac:dyDescent="0.2">
      <c r="A10" s="49">
        <v>7</v>
      </c>
      <c r="B10" s="50">
        <v>2.2000000000000002</v>
      </c>
      <c r="C10" s="51">
        <f t="shared" si="8"/>
        <v>0.51162790697674421</v>
      </c>
      <c r="D10" s="52">
        <v>272</v>
      </c>
      <c r="E10" s="53">
        <f t="shared" ref="E10" si="44">D10/y_max</f>
        <v>1.0048742300435276</v>
      </c>
      <c r="F10" s="32">
        <v>270.06375976918559</v>
      </c>
      <c r="G10" s="53">
        <f t="shared" si="1"/>
        <v>0.99772100242911987</v>
      </c>
      <c r="H10" s="34">
        <v>1</v>
      </c>
      <c r="I10" s="35">
        <f t="shared" si="10"/>
        <v>0.51162790697674421</v>
      </c>
      <c r="J10" s="36">
        <f t="shared" si="2"/>
        <v>0.26176311519740403</v>
      </c>
      <c r="K10" s="36">
        <f t="shared" si="2"/>
        <v>0.13392531475216021</v>
      </c>
      <c r="L10" s="37">
        <f t="shared" si="2"/>
        <v>6.8519928477849407E-2</v>
      </c>
      <c r="M10" s="34">
        <v>1</v>
      </c>
      <c r="N10" s="54">
        <f t="shared" si="20"/>
        <v>0.3</v>
      </c>
      <c r="O10" s="36">
        <f t="shared" si="11"/>
        <v>0.09</v>
      </c>
      <c r="P10" s="36">
        <f t="shared" si="12"/>
        <v>2.7E-2</v>
      </c>
      <c r="Q10" s="37">
        <f t="shared" si="13"/>
        <v>8.0999999999999996E-3</v>
      </c>
      <c r="R10" s="42">
        <v>254.97220178767131</v>
      </c>
      <c r="S10" s="44">
        <f t="shared" ref="S10" si="45">R10/y_max</f>
        <v>0.94196689321282789</v>
      </c>
      <c r="T10" s="55">
        <f t="array" ref="T10">SQRT(MMULT(MMULT(M10:Q10,MINVERSE(XTX)),TRANSPOSE(M10:Q10))*$D$21)*$F$23</f>
        <v>3.5101142299495094</v>
      </c>
      <c r="U10" s="44">
        <f t="shared" ref="U10" si="46">(R10-T10)/y_max</f>
        <v>0.92899916036655816</v>
      </c>
      <c r="V10" s="44">
        <f t="shared" ref="V10" si="47">(R10+T10)/y_max</f>
        <v>0.9549346260590974</v>
      </c>
      <c r="W10" s="55">
        <f t="array" ref="W10">SQRT((MMULT(MMULT(M10:Q10,MINVERSE(XTX)),TRANSPOSE(M10:Q10))+1)*$D$21)*$F$23</f>
        <v>7.3613994800704683</v>
      </c>
      <c r="X10" s="56">
        <f t="shared" ref="X10" si="48">(R10-W10)/y_max</f>
        <v>0.91477100852687698</v>
      </c>
      <c r="Y10" s="57">
        <f t="shared" ref="Y10" si="49">(R10+W10)/y_max</f>
        <v>0.96916277789877869</v>
      </c>
    </row>
    <row r="11" spans="1:25" ht="15" customHeight="1" x14ac:dyDescent="0.2">
      <c r="A11" s="49">
        <v>8</v>
      </c>
      <c r="B11" s="50">
        <v>2.5</v>
      </c>
      <c r="C11" s="51">
        <f t="shared" si="8"/>
        <v>0.58139534883720934</v>
      </c>
      <c r="D11" s="52">
        <v>263</v>
      </c>
      <c r="E11" s="53">
        <f t="shared" ref="E11" si="50">D11/y_max</f>
        <v>0.97162471507885206</v>
      </c>
      <c r="F11" s="32">
        <v>265.71616618627138</v>
      </c>
      <c r="G11" s="53">
        <f t="shared" si="1"/>
        <v>0.98165929377407168</v>
      </c>
      <c r="H11" s="34">
        <v>1</v>
      </c>
      <c r="I11" s="35">
        <f t="shared" si="10"/>
        <v>0.58139534883720934</v>
      </c>
      <c r="J11" s="36">
        <f t="shared" si="2"/>
        <v>0.33802055164954031</v>
      </c>
      <c r="K11" s="36">
        <f t="shared" si="2"/>
        <v>0.19652357654043043</v>
      </c>
      <c r="L11" s="37">
        <f t="shared" si="2"/>
        <v>0.11425789333745955</v>
      </c>
      <c r="M11" s="34">
        <v>1</v>
      </c>
      <c r="N11" s="54">
        <f t="shared" si="20"/>
        <v>0.35</v>
      </c>
      <c r="O11" s="36">
        <f t="shared" si="11"/>
        <v>0.12249999999999998</v>
      </c>
      <c r="P11" s="36">
        <f t="shared" si="12"/>
        <v>4.287499999999999E-2</v>
      </c>
      <c r="Q11" s="37">
        <f t="shared" si="13"/>
        <v>1.5006249999999995E-2</v>
      </c>
      <c r="R11" s="42">
        <v>262.80040566063343</v>
      </c>
      <c r="S11" s="44">
        <f t="shared" ref="S11" si="51">R11/y_max</f>
        <v>0.97088733563733731</v>
      </c>
      <c r="T11" s="55">
        <f t="array" ref="T11">SQRT(MMULT(MMULT(M11:Q11,MINVERSE(XTX)),TRANSPOSE(M11:Q11))*$D$21)*$F$23</f>
        <v>3.1865265095933988</v>
      </c>
      <c r="U11" s="44">
        <f t="shared" ref="U11" si="52">(R11-T11)/y_max</f>
        <v>0.95911506220777487</v>
      </c>
      <c r="V11" s="44">
        <f t="shared" ref="V11" si="53">(R11+T11)/y_max</f>
        <v>0.98265960906689975</v>
      </c>
      <c r="W11" s="55">
        <f t="array" ref="W11">SQRT((MMULT(MMULT(M11:Q11,MINVERSE(XTX)),TRANSPOSE(M11:Q11))+1)*$D$21)*$F$23</f>
        <v>7.2127145787303419</v>
      </c>
      <c r="X11" s="56">
        <f t="shared" ref="X11" si="54">(R11-W11)/y_max</f>
        <v>0.94424075104606753</v>
      </c>
      <c r="Y11" s="57">
        <f t="shared" ref="Y11" si="55">(R11+W11)/y_max</f>
        <v>0.9975339202286071</v>
      </c>
    </row>
    <row r="12" spans="1:25" ht="15" customHeight="1" x14ac:dyDescent="0.2">
      <c r="A12" s="49">
        <v>9</v>
      </c>
      <c r="B12" s="50">
        <v>2.8</v>
      </c>
      <c r="C12" s="51">
        <f t="shared" si="8"/>
        <v>0.65116279069767435</v>
      </c>
      <c r="D12" s="52">
        <v>257</v>
      </c>
      <c r="E12" s="53">
        <f t="shared" ref="E12" si="56">D12/y_max</f>
        <v>0.94945837176906844</v>
      </c>
      <c r="F12" s="32">
        <v>257.88492389914899</v>
      </c>
      <c r="G12" s="53">
        <f t="shared" si="1"/>
        <v>0.95272762626099661</v>
      </c>
      <c r="H12" s="34">
        <v>1</v>
      </c>
      <c r="I12" s="35">
        <f t="shared" si="10"/>
        <v>0.65116279069767435</v>
      </c>
      <c r="J12" s="36">
        <f t="shared" si="2"/>
        <v>0.42401297998918325</v>
      </c>
      <c r="K12" s="36">
        <f t="shared" si="2"/>
        <v>0.27610147534179369</v>
      </c>
      <c r="L12" s="37">
        <f t="shared" si="2"/>
        <v>0.17978700719930751</v>
      </c>
      <c r="M12" s="34">
        <v>1</v>
      </c>
      <c r="N12" s="54">
        <f t="shared" si="20"/>
        <v>0.39999999999999997</v>
      </c>
      <c r="O12" s="36">
        <f t="shared" si="11"/>
        <v>0.15999999999999998</v>
      </c>
      <c r="P12" s="36">
        <f t="shared" si="12"/>
        <v>6.3999999999999987E-2</v>
      </c>
      <c r="Q12" s="37">
        <f t="shared" si="13"/>
        <v>2.5599999999999991E-2</v>
      </c>
      <c r="R12" s="42">
        <v>267.9000977371694</v>
      </c>
      <c r="S12" s="44">
        <f t="shared" ref="S12" si="57">R12/y_max</f>
        <v>0.98972758986111731</v>
      </c>
      <c r="T12" s="55">
        <f t="array" ref="T12">SQRT(MMULT(MMULT(M12:Q12,MINVERSE(XTX)),TRANSPOSE(M12:Q12))*$D$21)*$F$23</f>
        <v>3.0230611428228351</v>
      </c>
      <c r="U12" s="44">
        <f t="shared" ref="U12" si="58">(R12-T12)/y_max</f>
        <v>0.97855922133807105</v>
      </c>
      <c r="V12" s="44">
        <f t="shared" ref="V12" si="59">(R12+T12)/y_max</f>
        <v>1.0008959583841637</v>
      </c>
      <c r="W12" s="55">
        <f t="array" ref="W12">SQRT((MMULT(MMULT(M12:Q12,MINVERSE(XTX)),TRANSPOSE(M12:Q12))+1)*$D$21)*$F$23</f>
        <v>7.1420024552735235</v>
      </c>
      <c r="X12" s="56">
        <f t="shared" ref="X12" si="60">(R12-W12)/y_max</f>
        <v>0.96334224347063213</v>
      </c>
      <c r="Y12" s="57">
        <f t="shared" ref="Y12" si="61">(R12+W12)/y_max</f>
        <v>1.0161129362516026</v>
      </c>
    </row>
    <row r="13" spans="1:25" ht="15" customHeight="1" x14ac:dyDescent="0.2">
      <c r="A13" s="49">
        <v>10</v>
      </c>
      <c r="B13" s="50">
        <v>3.1</v>
      </c>
      <c r="C13" s="51">
        <f t="shared" si="8"/>
        <v>0.72093023255813959</v>
      </c>
      <c r="D13" s="52">
        <v>247</v>
      </c>
      <c r="E13" s="53">
        <f t="shared" ref="E13" si="62">D13/y_max</f>
        <v>0.91251446625276222</v>
      </c>
      <c r="F13" s="32">
        <v>247.55090497694027</v>
      </c>
      <c r="G13" s="53">
        <f t="shared" si="1"/>
        <v>0.91454972439441673</v>
      </c>
      <c r="H13" s="34">
        <v>1</v>
      </c>
      <c r="I13" s="35">
        <f t="shared" si="10"/>
        <v>0.72093023255813959</v>
      </c>
      <c r="J13" s="36">
        <f t="shared" si="2"/>
        <v>0.51974040021633328</v>
      </c>
      <c r="K13" s="36">
        <f t="shared" si="2"/>
        <v>0.37469656759782172</v>
      </c>
      <c r="L13" s="37">
        <f t="shared" si="2"/>
        <v>0.27013008361703428</v>
      </c>
      <c r="M13" s="34">
        <v>1</v>
      </c>
      <c r="N13" s="54">
        <f t="shared" si="20"/>
        <v>0.44999999999999996</v>
      </c>
      <c r="O13" s="36">
        <f t="shared" si="11"/>
        <v>0.20249999999999996</v>
      </c>
      <c r="P13" s="36">
        <f t="shared" si="12"/>
        <v>9.112499999999997E-2</v>
      </c>
      <c r="Q13" s="37">
        <f t="shared" si="13"/>
        <v>4.100624999999998E-2</v>
      </c>
      <c r="R13" s="42">
        <v>270.37757395249434</v>
      </c>
      <c r="S13" s="44">
        <f t="shared" ref="S13" si="63">R13/y_max</f>
        <v>0.99888035458290336</v>
      </c>
      <c r="T13" s="55">
        <f t="array" ref="T13">SQRT(MMULT(MMULT(M13:Q13,MINVERSE(XTX)),TRANSPOSE(M13:Q13))*$D$21)*$F$23</f>
        <v>3.0823544309996955</v>
      </c>
      <c r="U13" s="44">
        <f t="shared" ref="U13" si="64">(R13-T13)/y_max</f>
        <v>0.98749293349624123</v>
      </c>
      <c r="V13" s="44">
        <f t="shared" ref="V13" si="65">(R13+T13)/y_max</f>
        <v>1.0102677756695655</v>
      </c>
      <c r="W13" s="55">
        <f t="array" ref="W13">SQRT((MMULT(MMULT(M13:Q13,MINVERSE(XTX)),TRANSPOSE(M13:Q13))+1)*$D$21)*$F$23</f>
        <v>7.167301391471633</v>
      </c>
      <c r="X13" s="56">
        <f t="shared" ref="X13" si="66">(R13-W13)/y_max</f>
        <v>0.97240154404156154</v>
      </c>
      <c r="Y13" s="57">
        <f t="shared" ref="Y13" si="67">(R13+W13)/y_max</f>
        <v>1.0253591651242453</v>
      </c>
    </row>
    <row r="14" spans="1:25" ht="15" customHeight="1" x14ac:dyDescent="0.2">
      <c r="A14" s="49">
        <v>11</v>
      </c>
      <c r="B14" s="50">
        <v>3.4</v>
      </c>
      <c r="C14" s="51">
        <f t="shared" si="8"/>
        <v>0.79069767441860461</v>
      </c>
      <c r="D14" s="52">
        <v>239</v>
      </c>
      <c r="E14" s="53">
        <f t="shared" ref="E14" si="68">D14/y_max</f>
        <v>0.88295934183971736</v>
      </c>
      <c r="F14" s="32">
        <v>235.89510489477479</v>
      </c>
      <c r="G14" s="53">
        <f t="shared" si="1"/>
        <v>0.87148864669916914</v>
      </c>
      <c r="H14" s="34">
        <v>1</v>
      </c>
      <c r="I14" s="35">
        <f t="shared" si="10"/>
        <v>0.79069767441860461</v>
      </c>
      <c r="J14" s="36">
        <f t="shared" si="2"/>
        <v>0.62520281233098962</v>
      </c>
      <c r="K14" s="36">
        <f t="shared" si="2"/>
        <v>0.49434640975008481</v>
      </c>
      <c r="L14" s="37">
        <f t="shared" si="2"/>
        <v>0.3908785565465786</v>
      </c>
      <c r="M14" s="34">
        <v>1</v>
      </c>
      <c r="N14" s="54">
        <f t="shared" si="20"/>
        <v>0.49999999999999994</v>
      </c>
      <c r="O14" s="36">
        <f t="shared" si="11"/>
        <v>0.24999999999999994</v>
      </c>
      <c r="P14" s="36">
        <f t="shared" si="12"/>
        <v>0.12499999999999996</v>
      </c>
      <c r="Q14" s="37">
        <f t="shared" si="13"/>
        <v>6.2499999999999972E-2</v>
      </c>
      <c r="R14" s="42">
        <v>270.39192207057204</v>
      </c>
      <c r="S14" s="44">
        <f t="shared" ref="S14" si="69">R14/y_max</f>
        <v>0.99893336213476325</v>
      </c>
      <c r="T14" s="55">
        <f t="array" ref="T14">SQRT(MMULT(MMULT(M14:Q14,MINVERSE(XTX)),TRANSPOSE(M14:Q14))*$D$21)*$F$23</f>
        <v>3.2231757123308431</v>
      </c>
      <c r="U14" s="44">
        <f t="shared" ref="U14" si="70">(R14-T14)/y_max</f>
        <v>0.98702569223688297</v>
      </c>
      <c r="V14" s="44">
        <f t="shared" ref="V14" si="71">(R14+T14)/y_max</f>
        <v>1.0108410320326435</v>
      </c>
      <c r="W14" s="55">
        <f t="array" ref="W14">SQRT((MMULT(MMULT(M14:Q14,MINVERSE(XTX)),TRANSPOSE(M14:Q14))+1)*$D$21)*$F$23</f>
        <v>7.2289807075719299</v>
      </c>
      <c r="X14" s="56">
        <f t="shared" ref="X14" si="72">(R14-W14)/y_max</f>
        <v>0.97222668411078961</v>
      </c>
      <c r="Y14" s="57">
        <f t="shared" ref="Y14" si="73">(R14+W14)/y_max</f>
        <v>1.0256400401587369</v>
      </c>
    </row>
    <row r="15" spans="1:25" ht="15" customHeight="1" x14ac:dyDescent="0.2">
      <c r="A15" s="49">
        <v>12</v>
      </c>
      <c r="B15" s="50">
        <v>3.7</v>
      </c>
      <c r="C15" s="51">
        <f t="shared" si="8"/>
        <v>0.86046511627906985</v>
      </c>
      <c r="D15" s="52">
        <v>223</v>
      </c>
      <c r="E15" s="53">
        <f t="shared" ref="E15" si="74">D15/y_max</f>
        <v>0.82384909301362741</v>
      </c>
      <c r="F15" s="32">
        <v>224.29864253378861</v>
      </c>
      <c r="G15" s="53">
        <f t="shared" si="1"/>
        <v>0.82864678572040174</v>
      </c>
      <c r="H15" s="34">
        <v>1</v>
      </c>
      <c r="I15" s="35">
        <f t="shared" si="10"/>
        <v>0.86046511627906985</v>
      </c>
      <c r="J15" s="36">
        <f t="shared" si="2"/>
        <v>0.74040021633315323</v>
      </c>
      <c r="K15" s="36">
        <f t="shared" si="2"/>
        <v>0.6370885582401552</v>
      </c>
      <c r="L15" s="37">
        <f t="shared" si="2"/>
        <v>0.54819248034618007</v>
      </c>
      <c r="M15" s="34">
        <v>1</v>
      </c>
      <c r="N15" s="54">
        <f t="shared" si="20"/>
        <v>0.54999999999999993</v>
      </c>
      <c r="O15" s="36">
        <f t="shared" si="11"/>
        <v>0.30249999999999994</v>
      </c>
      <c r="P15" s="36">
        <f t="shared" si="12"/>
        <v>0.16637499999999994</v>
      </c>
      <c r="Q15" s="37">
        <f t="shared" si="13"/>
        <v>9.1506249999999956E-2</v>
      </c>
      <c r="R15" s="42">
        <v>268.15502168411456</v>
      </c>
      <c r="S15" s="44">
        <f t="shared" ref="S15" si="75">R15/y_max</f>
        <v>0.99066937848209591</v>
      </c>
      <c r="T15" s="55">
        <f t="array" ref="T15">SQRT(MMULT(MMULT(M15:Q15,MINVERSE(XTX)),TRANSPOSE(M15:Q15))*$D$21)*$F$23</f>
        <v>3.2830963801164428</v>
      </c>
      <c r="U15" s="44">
        <f t="shared" ref="U15" si="76">(R15-T15)/y_max</f>
        <v>0.97854033823530107</v>
      </c>
      <c r="V15" s="44">
        <f t="shared" ref="V15" si="77">(R15+T15)/y_max</f>
        <v>1.0027984187288908</v>
      </c>
      <c r="W15" s="55">
        <f t="array" ref="W15">SQRT((MMULT(MMULT(M15:Q15,MINVERSE(XTX)),TRANSPOSE(M15:Q15))+1)*$D$21)*$F$23</f>
        <v>7.2558956882676737</v>
      </c>
      <c r="X15" s="56">
        <f t="shared" ref="X15" si="78">(R15-W15)/y_max</f>
        <v>0.96386326600774241</v>
      </c>
      <c r="Y15" s="57">
        <f t="shared" ref="Y15" si="79">(R15+W15)/y_max</f>
        <v>1.0174754909564494</v>
      </c>
    </row>
    <row r="16" spans="1:25" ht="15" customHeight="1" x14ac:dyDescent="0.2">
      <c r="A16" s="49">
        <v>13</v>
      </c>
      <c r="B16" s="50">
        <v>4</v>
      </c>
      <c r="C16" s="51">
        <f t="shared" si="8"/>
        <v>0.93023255813953487</v>
      </c>
      <c r="D16" s="52">
        <v>214</v>
      </c>
      <c r="E16" s="53">
        <f t="shared" ref="E16" si="80">D16/y_max</f>
        <v>0.79059957804895187</v>
      </c>
      <c r="F16" s="32">
        <v>214.34276018112581</v>
      </c>
      <c r="G16" s="53">
        <f t="shared" si="1"/>
        <v>0.79186586802357828</v>
      </c>
      <c r="H16" s="34">
        <v>1</v>
      </c>
      <c r="I16" s="35">
        <f t="shared" si="10"/>
        <v>0.93023255813953487</v>
      </c>
      <c r="J16" s="36">
        <f t="shared" si="2"/>
        <v>0.86533261222282309</v>
      </c>
      <c r="K16" s="36">
        <f t="shared" si="2"/>
        <v>0.80496056950960282</v>
      </c>
      <c r="L16" s="37">
        <f t="shared" si="2"/>
        <v>0.74880052977637468</v>
      </c>
      <c r="M16" s="34">
        <v>1</v>
      </c>
      <c r="N16" s="54">
        <f t="shared" si="20"/>
        <v>0.6</v>
      </c>
      <c r="O16" s="36">
        <f t="shared" si="11"/>
        <v>0.36</v>
      </c>
      <c r="P16" s="36">
        <f t="shared" si="12"/>
        <v>0.216</v>
      </c>
      <c r="Q16" s="37">
        <f t="shared" si="13"/>
        <v>0.12959999999999999</v>
      </c>
      <c r="R16" s="42">
        <v>263.93154421458257</v>
      </c>
      <c r="S16" s="44">
        <f t="shared" ref="S16" si="81">R16/y_max</f>
        <v>0.97506620322363213</v>
      </c>
      <c r="T16" s="55">
        <f t="array" ref="T16">SQRT(MMULT(MMULT(M16:Q16,MINVERSE(XTX)),TRANSPOSE(M16:Q16))*$D$21)*$F$23</f>
        <v>3.2055267328375918</v>
      </c>
      <c r="U16" s="44">
        <f t="shared" ref="U16" si="82">(R16-T16)/y_max</f>
        <v>0.96322373554883756</v>
      </c>
      <c r="V16" s="44">
        <f t="shared" ref="V16" si="83">(R16+T16)/y_max</f>
        <v>0.98690867089842671</v>
      </c>
      <c r="W16" s="55">
        <f t="array" ref="W16">SQRT((MMULT(MMULT(M16:Q16,MINVERSE(XTX)),TRANSPOSE(M16:Q16))+1)*$D$21)*$F$23</f>
        <v>7.2211288613916986</v>
      </c>
      <c r="X16" s="56">
        <f t="shared" ref="X16" si="84">(R16-W16)/y_max</f>
        <v>0.94838853298599946</v>
      </c>
      <c r="Y16" s="57">
        <f t="shared" ref="Y16" si="85">(R16+W16)/y_max</f>
        <v>1.0017438734612649</v>
      </c>
    </row>
    <row r="17" spans="1:25" ht="15" customHeight="1" x14ac:dyDescent="0.2">
      <c r="A17" s="58">
        <v>14</v>
      </c>
      <c r="B17" s="59">
        <v>4.3</v>
      </c>
      <c r="C17" s="60">
        <f t="shared" si="8"/>
        <v>1</v>
      </c>
      <c r="D17" s="61">
        <v>208</v>
      </c>
      <c r="E17" s="62">
        <f t="shared" ref="E17" si="86">D17/y_max</f>
        <v>0.76843323473916825</v>
      </c>
      <c r="F17" s="33">
        <v>207.80882352993649</v>
      </c>
      <c r="G17" s="62">
        <f t="shared" si="1"/>
        <v>0.76772695419447146</v>
      </c>
      <c r="H17" s="63">
        <v>1</v>
      </c>
      <c r="I17" s="64">
        <f t="shared" si="10"/>
        <v>1</v>
      </c>
      <c r="J17" s="65">
        <f t="shared" si="2"/>
        <v>1</v>
      </c>
      <c r="K17" s="65">
        <f t="shared" si="2"/>
        <v>1</v>
      </c>
      <c r="L17" s="66">
        <f t="shared" si="2"/>
        <v>1</v>
      </c>
      <c r="M17" s="34">
        <v>1</v>
      </c>
      <c r="N17" s="54">
        <f t="shared" si="20"/>
        <v>0.65</v>
      </c>
      <c r="O17" s="36">
        <f t="shared" si="11"/>
        <v>0.42250000000000004</v>
      </c>
      <c r="P17" s="36">
        <f t="shared" si="12"/>
        <v>0.27462500000000006</v>
      </c>
      <c r="Q17" s="37">
        <f t="shared" si="13"/>
        <v>0.17850625000000003</v>
      </c>
      <c r="R17" s="42">
        <v>258.03895291218527</v>
      </c>
      <c r="S17" s="44">
        <f t="shared" ref="S17" si="87">R17/y_max</f>
        <v>0.95329666959143478</v>
      </c>
      <c r="T17" s="55">
        <f t="array" ref="T17">SQRT(MMULT(MMULT(M17:Q17,MINVERSE(XTX)),TRANSPOSE(M17:Q17))*$D$21)*$F$23</f>
        <v>3.0648237929606323</v>
      </c>
      <c r="U17" s="44">
        <f t="shared" ref="U17" si="88">(R17-T17)/y_max</f>
        <v>0.94197401352830834</v>
      </c>
      <c r="V17" s="44">
        <f t="shared" ref="V17" si="89">(R17+T17)/y_max</f>
        <v>0.96461932565456121</v>
      </c>
      <c r="W17" s="55">
        <f t="array" ref="W17">SQRT((MMULT(MMULT(M17:Q17,MINVERSE(XTX)),TRANSPOSE(M17:Q17))+1)*$D$21)*$F$23</f>
        <v>7.159779694919763</v>
      </c>
      <c r="X17" s="56">
        <f t="shared" ref="X17" si="90">(R17-W17)/y_max</f>
        <v>0.92684564713476647</v>
      </c>
      <c r="Y17" s="57">
        <f t="shared" ref="Y17" si="91">(R17+W17)/y_max</f>
        <v>0.97974769204810319</v>
      </c>
    </row>
    <row r="18" spans="1:25" ht="15" customHeight="1" x14ac:dyDescent="0.25">
      <c r="A18" s="1369" t="s">
        <v>27</v>
      </c>
      <c r="B18" s="1600"/>
      <c r="C18" s="1600"/>
      <c r="D18" s="1600"/>
      <c r="E18" s="1600"/>
      <c r="F18" s="1348"/>
      <c r="G18" s="67" t="s">
        <v>28</v>
      </c>
      <c r="H18" s="1369" t="s">
        <v>29</v>
      </c>
      <c r="I18" s="1600"/>
      <c r="J18" s="1600"/>
      <c r="K18" s="1600"/>
      <c r="L18" s="1601"/>
      <c r="M18" s="34">
        <v>1</v>
      </c>
      <c r="N18" s="54">
        <f t="shared" si="20"/>
        <v>0.70000000000000007</v>
      </c>
      <c r="O18" s="36">
        <f t="shared" si="11"/>
        <v>0.4900000000000001</v>
      </c>
      <c r="P18" s="36">
        <f t="shared" si="12"/>
        <v>0.34300000000000008</v>
      </c>
      <c r="Q18" s="37">
        <f t="shared" si="13"/>
        <v>0.24010000000000009</v>
      </c>
      <c r="R18" s="42">
        <v>250.84750285588046</v>
      </c>
      <c r="S18" s="44">
        <f t="shared" ref="S18" si="92">R18/y_max</f>
        <v>0.92672864445089886</v>
      </c>
      <c r="T18" s="55">
        <f t="array" ref="T18">SQRT(MMULT(MMULT(M18:Q18,MINVERSE(XTX)),TRANSPOSE(M18:Q18))*$D$21)*$F$23</f>
        <v>3.0311876476870285</v>
      </c>
      <c r="U18" s="44">
        <f t="shared" ref="U18" si="93">(R18-T18)/y_max</f>
        <v>0.91553025344506445</v>
      </c>
      <c r="V18" s="44">
        <f t="shared" ref="V18" si="94">(R18+T18)/y_max</f>
        <v>0.93792703545673328</v>
      </c>
      <c r="W18" s="55">
        <f t="array" ref="W18">SQRT((MMULT(MMULT(M18:Q18,MINVERSE(XTX)),TRANSPOSE(M18:Q18))+1)*$D$21)*$F$23</f>
        <v>7.1454460290018389</v>
      </c>
      <c r="X18" s="56">
        <f t="shared" ref="X18" si="95">(R18-W18)/y_max</f>
        <v>0.90033057615416789</v>
      </c>
      <c r="Y18" s="57">
        <f t="shared" ref="Y18" si="96">(R18+W18)/y_max</f>
        <v>0.95312671274762983</v>
      </c>
    </row>
    <row r="19" spans="1:25" ht="15" customHeight="1" x14ac:dyDescent="0.2">
      <c r="A19" s="68"/>
      <c r="B19" s="69" t="s">
        <v>30</v>
      </c>
      <c r="C19" s="70" t="s">
        <v>31</v>
      </c>
      <c r="D19" s="71" t="s">
        <v>32</v>
      </c>
      <c r="E19" s="72" t="s">
        <v>3</v>
      </c>
      <c r="F19" s="73" t="s">
        <v>33</v>
      </c>
      <c r="G19" s="74">
        <f t="array" ref="G19">MMULT(H19:L19,Y27:Y31)</f>
        <v>270.68064029089282</v>
      </c>
      <c r="H19" s="75">
        <v>1</v>
      </c>
      <c r="I19" s="76">
        <v>0.47511655818001808</v>
      </c>
      <c r="J19" s="76">
        <f>I19^2</f>
        <v>0.22573574385682652</v>
      </c>
      <c r="K19" s="76">
        <f>I19^3</f>
        <v>0.10725078967946157</v>
      </c>
      <c r="L19" s="77">
        <f>I19^4</f>
        <v>5.0956626054594792E-2</v>
      </c>
      <c r="M19" s="34">
        <v>1</v>
      </c>
      <c r="N19" s="54">
        <f t="shared" si="20"/>
        <v>0.75000000000000011</v>
      </c>
      <c r="O19" s="36">
        <f t="shared" si="11"/>
        <v>0.56250000000000022</v>
      </c>
      <c r="P19" s="36">
        <f t="shared" si="12"/>
        <v>0.42187500000000022</v>
      </c>
      <c r="Q19" s="37">
        <f t="shared" si="13"/>
        <v>0.31640625000000028</v>
      </c>
      <c r="R19" s="42">
        <v>242.78024095337412</v>
      </c>
      <c r="S19" s="44">
        <f t="shared" ref="S19" si="97">R19/y_max</f>
        <v>0.89692502830074983</v>
      </c>
      <c r="T19" s="55">
        <f t="array" ref="T19">SQRT(MMULT(MMULT(M19:Q19,MINVERSE(XTX)),TRANSPOSE(M19:Q19))*$D$21)*$F$23</f>
        <v>3.226511786184918</v>
      </c>
      <c r="U19" s="44">
        <f t="shared" ref="U19" si="98">(R19-T19)/y_max</f>
        <v>0.88500503364314342</v>
      </c>
      <c r="V19" s="44">
        <f t="shared" ref="V19" si="99">(R19+T19)/y_max</f>
        <v>0.90884502295835612</v>
      </c>
      <c r="W19" s="55">
        <f t="array" ref="W19">SQRT((MMULT(MMULT(M19:Q19,MINVERSE(XTX)),TRANSPOSE(M19:Q19))+1)*$D$21)*$F$23</f>
        <v>7.2304687748636276</v>
      </c>
      <c r="X19" s="56">
        <f t="shared" ref="X19" si="100">(R19-W19)/y_max</f>
        <v>0.87021285277503346</v>
      </c>
      <c r="Y19" s="57">
        <f t="shared" ref="Y19" si="101">(R19+W19)/y_max</f>
        <v>0.92363720382646619</v>
      </c>
    </row>
    <row r="20" spans="1:25" ht="15" customHeight="1" x14ac:dyDescent="0.2">
      <c r="A20" s="78" t="s">
        <v>5</v>
      </c>
      <c r="B20" s="79">
        <f>SUMSQ(F4:F17)-H21*AVERAGE(y)^2</f>
        <v>8301.2307673116447</v>
      </c>
      <c r="C20" s="80">
        <f>5-1</f>
        <v>4</v>
      </c>
      <c r="D20" s="80">
        <f>B20/C20</f>
        <v>2075.3076918279112</v>
      </c>
      <c r="E20" s="81">
        <f>D20/D21</f>
        <v>357.33773514169656</v>
      </c>
      <c r="F20" s="80">
        <f>FDIST(E20,C20,C21)</f>
        <v>6.6348792501630622E-10</v>
      </c>
      <c r="G20" s="82" t="s">
        <v>34</v>
      </c>
      <c r="H20" s="1369" t="s">
        <v>35</v>
      </c>
      <c r="I20" s="1600"/>
      <c r="J20" s="1600"/>
      <c r="K20" s="1600"/>
      <c r="L20" s="1601"/>
      <c r="M20" s="34">
        <v>1</v>
      </c>
      <c r="N20" s="54">
        <f t="shared" si="20"/>
        <v>0.80000000000000016</v>
      </c>
      <c r="O20" s="36">
        <f t="shared" si="11"/>
        <v>0.64000000000000024</v>
      </c>
      <c r="P20" s="36">
        <f t="shared" si="12"/>
        <v>0.51200000000000023</v>
      </c>
      <c r="Q20" s="37">
        <f t="shared" si="13"/>
        <v>0.4096000000000003</v>
      </c>
      <c r="R20" s="42">
        <v>234.31300594112145</v>
      </c>
      <c r="S20" s="44">
        <f t="shared" ref="S20" si="102">R20/y_max</f>
        <v>0.8656437552730476</v>
      </c>
      <c r="T20" s="55">
        <f t="array" ref="T20">SQRT(MMULT(MMULT(M20:Q20,MINVERSE(XTX)),TRANSPOSE(M20:Q20))*$D$21)*$F$23</f>
        <v>3.554795864416251</v>
      </c>
      <c r="U20" s="44">
        <f t="shared" ref="U20" si="103">(R20-T20)/y_max</f>
        <v>0.85251095101857255</v>
      </c>
      <c r="V20" s="44">
        <f t="shared" ref="V20" si="104">(R20+T20)/y_max</f>
        <v>0.87877655952752265</v>
      </c>
      <c r="W20" s="55">
        <f t="array" ref="W20">SQRT((MMULT(MMULT(M20:Q20,MINVERSE(XTX)),TRANSPOSE(M20:Q20))+1)*$D$21)*$F$23</f>
        <v>7.3828093592858419</v>
      </c>
      <c r="X20" s="56">
        <f t="shared" ref="X20" si="105">(R20-W20)/y_max</f>
        <v>0.83836877413161193</v>
      </c>
      <c r="Y20" s="57">
        <f t="shared" ref="Y20" si="106">(R20+W20)/y_max</f>
        <v>0.89291873641448316</v>
      </c>
    </row>
    <row r="21" spans="1:25" ht="15" customHeight="1" x14ac:dyDescent="0.2">
      <c r="A21" s="78" t="s">
        <v>6</v>
      </c>
      <c r="B21" s="83">
        <f>SUMSQ(y)-SUMSQ(F4:F17)</f>
        <v>52.26923268835526</v>
      </c>
      <c r="C21" s="77">
        <f>H21-5</f>
        <v>9</v>
      </c>
      <c r="D21" s="77">
        <f>B21/C21</f>
        <v>5.8076925209283621</v>
      </c>
      <c r="E21" s="69" t="s">
        <v>36</v>
      </c>
      <c r="F21" s="80">
        <f>SQRT(D21)</f>
        <v>2.4099154592907119</v>
      </c>
      <c r="G21" s="84">
        <f t="array" ref="G21:G25">MMULT(TRANSPOSE(X),y)</f>
        <v>3367</v>
      </c>
      <c r="H21" s="87">
        <f t="array" ref="H21:L25">MMULT(TRANSPOSE(X),X)</f>
        <v>14</v>
      </c>
      <c r="I21" s="88">
        <v>7.6511627906976738</v>
      </c>
      <c r="J21" s="88">
        <v>5.2888047593293672</v>
      </c>
      <c r="K21" s="88">
        <v>4.1007584237865853</v>
      </c>
      <c r="L21" s="80">
        <v>3.3899109658620086</v>
      </c>
      <c r="M21" s="34">
        <v>1</v>
      </c>
      <c r="N21" s="54">
        <f t="shared" si="20"/>
        <v>0.8500000000000002</v>
      </c>
      <c r="O21" s="36">
        <f t="shared" si="11"/>
        <v>0.72250000000000036</v>
      </c>
      <c r="P21" s="36">
        <f t="shared" si="12"/>
        <v>0.61412500000000048</v>
      </c>
      <c r="Q21" s="37">
        <f t="shared" si="13"/>
        <v>0.52200625000000056</v>
      </c>
      <c r="R21" s="42">
        <v>225.97442838432511</v>
      </c>
      <c r="S21" s="44">
        <f t="shared" ref="S21" si="107">R21/y_max</f>
        <v>0.83483779313318007</v>
      </c>
      <c r="T21" s="55">
        <f t="array" ref="T21">SQRT(MMULT(MMULT(M21:Q21,MINVERSE(XTX)),TRANSPOSE(M21:Q21))*$D$21)*$F$23</f>
        <v>3.7599571731984427</v>
      </c>
      <c r="U21" s="44">
        <f t="shared" ref="U21" si="108">(R21-T21)/y_max</f>
        <v>0.82094704287797993</v>
      </c>
      <c r="V21" s="44">
        <f t="shared" ref="V21" si="109">(R21+T21)/y_max</f>
        <v>0.84872854338838011</v>
      </c>
      <c r="W21" s="55">
        <f t="array" ref="W21">SQRT((MMULT(MMULT(M21:Q21,MINVERSE(XTX)),TRANSPOSE(M21:Q21))+1)*$D$21)*$F$23</f>
        <v>7.4837542946153812</v>
      </c>
      <c r="X21" s="56">
        <f t="shared" ref="X21" si="110">(R21-W21)/y_max</f>
        <v>0.80718988197642794</v>
      </c>
      <c r="Y21" s="57">
        <f t="shared" ref="Y21" si="111">(R21+W21)/y_max</f>
        <v>0.86248570428993221</v>
      </c>
    </row>
    <row r="22" spans="1:25" ht="15" customHeight="1" x14ac:dyDescent="0.2">
      <c r="A22" s="91" t="s">
        <v>7</v>
      </c>
      <c r="B22" s="83">
        <f>SUMSQ(y)-H21*AVERAGE(y)^2</f>
        <v>8353.5</v>
      </c>
      <c r="C22" s="77">
        <f>H21-1</f>
        <v>13</v>
      </c>
      <c r="D22" s="92"/>
      <c r="E22" s="91" t="s">
        <v>37</v>
      </c>
      <c r="F22" s="77">
        <f>B20/B22</f>
        <v>0.99374283441810551</v>
      </c>
      <c r="G22" s="85">
        <v>1830.5813953488373</v>
      </c>
      <c r="H22" s="89">
        <v>7.6511627906976738</v>
      </c>
      <c r="I22" s="1">
        <v>5.2888047593293672</v>
      </c>
      <c r="J22" s="1">
        <v>4.1007584237865853</v>
      </c>
      <c r="K22" s="1">
        <v>3.3899109658620086</v>
      </c>
      <c r="L22" s="90">
        <v>2.9179303599589854</v>
      </c>
      <c r="M22" s="34">
        <v>1</v>
      </c>
      <c r="N22" s="54">
        <f t="shared" si="20"/>
        <v>0.90000000000000024</v>
      </c>
      <c r="O22" s="36">
        <f t="shared" si="11"/>
        <v>0.81000000000000039</v>
      </c>
      <c r="P22" s="36">
        <f t="shared" si="12"/>
        <v>0.72900000000000054</v>
      </c>
      <c r="Q22" s="37">
        <f t="shared" si="13"/>
        <v>0.65610000000000057</v>
      </c>
      <c r="R22" s="42">
        <v>218.3459306769374</v>
      </c>
      <c r="S22" s="44">
        <f t="shared" ref="S22" si="112">R22/y_max</f>
        <v>0.80665514327987109</v>
      </c>
      <c r="T22" s="55">
        <f t="array" ref="T22">SQRT(MMULT(MMULT(M22:Q22,MINVERSE(XTX)),TRANSPOSE(M22:Q22))*$D$21)*$F$23</f>
        <v>3.6780250312639531</v>
      </c>
      <c r="U22" s="44">
        <f t="shared" ref="U22" si="113">(R22-T22)/y_max</f>
        <v>0.79306708235570866</v>
      </c>
      <c r="V22" s="44">
        <f t="shared" ref="V22" si="114">(R22+T22)/y_max</f>
        <v>0.82024320420403352</v>
      </c>
      <c r="W22" s="55">
        <f t="array" ref="W22">SQRT((MMULT(MMULT(M22:Q22,MINVERSE(XTX)),TRANSPOSE(M22:Q22))+1)*$D$21)*$F$23</f>
        <v>7.4429274165809201</v>
      </c>
      <c r="X22" s="56">
        <f t="shared" ref="X22" si="115">(R22-W22)/y_max</f>
        <v>0.77915806255558206</v>
      </c>
      <c r="Y22" s="57">
        <f t="shared" ref="Y22" si="116">(R22+W22)/y_max</f>
        <v>0.83415222400416011</v>
      </c>
    </row>
    <row r="23" spans="1:25" ht="15" customHeight="1" x14ac:dyDescent="0.2">
      <c r="A23" s="1"/>
      <c r="B23" s="1"/>
      <c r="C23" s="1"/>
      <c r="E23" s="7" t="s">
        <v>38</v>
      </c>
      <c r="F23" s="93">
        <f>_xlfn.T.INV.2T(0.05/2,C21)</f>
        <v>2.6850108468164544</v>
      </c>
      <c r="G23" s="85">
        <v>1238.6517036235803</v>
      </c>
      <c r="H23" s="89">
        <v>5.2888047593293672</v>
      </c>
      <c r="I23" s="1">
        <v>4.1007584237865853</v>
      </c>
      <c r="J23" s="1">
        <v>3.3899109658620086</v>
      </c>
      <c r="K23" s="1">
        <v>2.9179303599589854</v>
      </c>
      <c r="L23" s="90">
        <v>2.582446208588264</v>
      </c>
      <c r="M23" s="34">
        <v>1</v>
      </c>
      <c r="N23" s="54">
        <f t="shared" si="20"/>
        <v>0.95000000000000029</v>
      </c>
      <c r="O23" s="36">
        <f t="shared" si="11"/>
        <v>0.90250000000000052</v>
      </c>
      <c r="P23" s="36">
        <f t="shared" si="12"/>
        <v>0.85737500000000078</v>
      </c>
      <c r="Q23" s="37">
        <f t="shared" si="13"/>
        <v>0.81450625000000099</v>
      </c>
      <c r="R23" s="42">
        <v>212.06172704165812</v>
      </c>
      <c r="S23" s="44">
        <f t="shared" ref="S23" si="117">R23/y_max</f>
        <v>0.78343884074517256</v>
      </c>
      <c r="T23" s="55">
        <f t="array" ref="T23">SQRT(MMULT(MMULT(M23:Q23,MINVERSE(XTX)),TRANSPOSE(M23:Q23))*$D$21)*$F$23</f>
        <v>3.8137118428314167</v>
      </c>
      <c r="U23" s="44">
        <f t="shared" ref="U23" si="118">(R23-T23)/y_max</f>
        <v>0.76934949974637434</v>
      </c>
      <c r="V23" s="44">
        <f t="shared" ref="V23" si="119">(R23+T23)/y_max</f>
        <v>0.79752818174397078</v>
      </c>
      <c r="W23" s="55">
        <f t="array" ref="W23">SQRT((MMULT(MMULT(M23:Q23,MINVERSE(XTX)),TRANSPOSE(M23:Q23))+1)*$D$21)*$F$23</f>
        <v>7.5109052994988774</v>
      </c>
      <c r="X23" s="56">
        <f t="shared" ref="X23" si="120">(R23-W23)/y_max</f>
        <v>0.75569062317251157</v>
      </c>
      <c r="Y23" s="57">
        <f t="shared" ref="Y23" si="121">(R23+W23)/y_max</f>
        <v>0.81118705831783355</v>
      </c>
    </row>
    <row r="24" spans="1:25" ht="15" customHeight="1" x14ac:dyDescent="0.2">
      <c r="A24"/>
      <c r="B24"/>
      <c r="G24" s="85">
        <v>940.3597041769907</v>
      </c>
      <c r="H24" s="89">
        <v>4.1007584237865853</v>
      </c>
      <c r="I24" s="1">
        <v>3.3899109658620086</v>
      </c>
      <c r="J24" s="1">
        <v>2.9179303599589854</v>
      </c>
      <c r="K24" s="1">
        <v>2.582446208588264</v>
      </c>
      <c r="L24" s="90">
        <v>2.3322654308959279</v>
      </c>
      <c r="M24" s="63">
        <v>1</v>
      </c>
      <c r="N24" s="95">
        <f t="shared" si="20"/>
        <v>1.0000000000000002</v>
      </c>
      <c r="O24" s="96">
        <f t="shared" si="11"/>
        <v>1.0000000000000004</v>
      </c>
      <c r="P24" s="96">
        <f t="shared" si="12"/>
        <v>1.0000000000000007</v>
      </c>
      <c r="Q24" s="97">
        <f t="shared" si="13"/>
        <v>1.0000000000000009</v>
      </c>
      <c r="R24" s="43">
        <v>207.80882352993643</v>
      </c>
      <c r="S24" s="98">
        <f t="shared" ref="S24" si="122">R24/y_max</f>
        <v>0.76772695419447123</v>
      </c>
      <c r="T24" s="99">
        <f t="array" ref="T24">SQRT(MMULT(MMULT(M24:Q24,MINVERSE(XTX)),TRANSPOSE(M24:Q24))*$D$21)*$F$23</f>
        <v>5.9649064759351926</v>
      </c>
      <c r="U24" s="98">
        <f t="shared" ref="U24" si="123">(R24-T24)/y_max</f>
        <v>0.7456902600684161</v>
      </c>
      <c r="V24" s="98">
        <f t="shared" ref="V24" si="124">(R24+T24)/y_max</f>
        <v>0.78976364832052648</v>
      </c>
      <c r="W24" s="99">
        <f t="array" ref="W24">SQRT((MMULT(MMULT(M24:Q24,MINVERSE(XTX)),TRANSPOSE(M24:Q24))+1)*$D$21)*$F$23</f>
        <v>8.8005346237908366</v>
      </c>
      <c r="X24" s="100">
        <f t="shared" ref="X24" si="125">(R24-W24)/y_max</f>
        <v>0.73521434223104032</v>
      </c>
      <c r="Y24" s="101">
        <f t="shared" ref="Y24" si="126">(R24+W24)/y_max</f>
        <v>0.80023956615790226</v>
      </c>
    </row>
    <row r="25" spans="1:25" ht="15" customHeight="1" x14ac:dyDescent="0.2">
      <c r="A25"/>
      <c r="B25"/>
      <c r="G25" s="86">
        <v>763.96320786146953</v>
      </c>
      <c r="H25" s="75">
        <v>3.3899109658620086</v>
      </c>
      <c r="I25" s="76">
        <v>2.9179303599589854</v>
      </c>
      <c r="J25" s="76">
        <v>2.582446208588264</v>
      </c>
      <c r="K25" s="76">
        <v>2.3322654308959279</v>
      </c>
      <c r="L25" s="77">
        <v>2.1389461109475727</v>
      </c>
    </row>
    <row r="26" spans="1:25" ht="15" customHeight="1" x14ac:dyDescent="0.2">
      <c r="Y26" s="82" t="s">
        <v>39</v>
      </c>
    </row>
    <row r="27" spans="1:25" ht="15" customHeight="1" x14ac:dyDescent="0.2">
      <c r="Y27" s="103">
        <f t="array" ref="Y27:Y31">MMULT(MINVERSE(XTX),G21:G25)</f>
        <v>151.40342887521547</v>
      </c>
    </row>
    <row r="28" spans="1:25" ht="15" customHeight="1" x14ac:dyDescent="0.2">
      <c r="Y28" s="104">
        <v>490.41253493679687</v>
      </c>
    </row>
    <row r="29" spans="1:25" ht="15" customHeight="1" x14ac:dyDescent="0.2">
      <c r="Y29" s="104">
        <v>-399.76229140721262</v>
      </c>
    </row>
    <row r="30" spans="1:25" ht="15" customHeight="1" x14ac:dyDescent="0.2">
      <c r="Y30" s="104">
        <v>-386.1903738649562</v>
      </c>
    </row>
    <row r="31" spans="1:25" ht="15" customHeight="1" x14ac:dyDescent="0.2">
      <c r="Y31" s="105">
        <v>351.94552499009296</v>
      </c>
    </row>
    <row r="32" spans="1:25" s="94" customFormat="1" ht="15" customHeight="1" x14ac:dyDescent="0.2">
      <c r="D32" s="1"/>
      <c r="E32" s="1"/>
      <c r="F32" s="1"/>
      <c r="G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02"/>
      <c r="V32" s="102"/>
      <c r="W32" s="1"/>
      <c r="X32" s="1"/>
      <c r="Y32" s="1"/>
    </row>
    <row r="33" spans="4:25" s="94" customFormat="1" ht="15" customHeight="1" x14ac:dyDescent="0.2">
      <c r="D33" s="1"/>
      <c r="E33" s="1"/>
      <c r="F33" s="1"/>
      <c r="G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02"/>
      <c r="V33" s="102"/>
      <c r="W33" s="1"/>
      <c r="X33" s="1"/>
      <c r="Y33" s="1"/>
    </row>
    <row r="34" spans="4:25" s="94" customFormat="1" ht="15" customHeight="1" x14ac:dyDescent="0.2">
      <c r="D34" s="1"/>
      <c r="E34" s="1"/>
      <c r="F34" s="1"/>
      <c r="G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02"/>
      <c r="V34" s="102"/>
      <c r="W34" s="1"/>
      <c r="X34" s="1"/>
      <c r="Y34" s="1"/>
    </row>
    <row r="35" spans="4:25" s="94" customFormat="1" ht="15" customHeight="1" x14ac:dyDescent="0.2">
      <c r="D35" s="1"/>
      <c r="E35" s="1"/>
      <c r="F35" s="1"/>
      <c r="G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02"/>
      <c r="V35" s="102"/>
      <c r="W35" s="1"/>
      <c r="X35" s="1"/>
      <c r="Y35" s="1"/>
    </row>
    <row r="36" spans="4:25" s="94" customFormat="1" ht="15" customHeight="1" x14ac:dyDescent="0.2">
      <c r="D36" s="1"/>
      <c r="E36" s="1"/>
      <c r="F36" s="1"/>
      <c r="G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02"/>
      <c r="V36" s="102"/>
      <c r="W36" s="1"/>
      <c r="X36" s="1"/>
      <c r="Y36" s="1"/>
    </row>
    <row r="37" spans="4:25" s="94" customFormat="1" ht="15" customHeight="1" x14ac:dyDescent="0.2">
      <c r="D37" s="1"/>
      <c r="E37" s="1"/>
      <c r="F37" s="1"/>
      <c r="G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02"/>
      <c r="V37" s="102"/>
      <c r="W37" s="1"/>
      <c r="X37" s="1"/>
      <c r="Y37" s="1"/>
    </row>
    <row r="38" spans="4:25" s="94" customFormat="1" ht="15" customHeight="1" x14ac:dyDescent="0.2">
      <c r="D38" s="1"/>
      <c r="E38" s="1"/>
      <c r="F38" s="1"/>
      <c r="G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02"/>
      <c r="V38" s="102"/>
      <c r="W38" s="1"/>
      <c r="X38" s="1"/>
      <c r="Y38" s="1"/>
    </row>
    <row r="39" spans="4:25" s="94" customFormat="1" ht="15" customHeight="1" x14ac:dyDescent="0.2">
      <c r="D39" s="1"/>
      <c r="E39" s="1"/>
      <c r="F39" s="1"/>
      <c r="G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02"/>
      <c r="V39" s="102"/>
      <c r="W39" s="1"/>
      <c r="X39" s="1"/>
      <c r="Y39" s="1"/>
    </row>
  </sheetData>
  <mergeCells count="13">
    <mergeCell ref="A18:F18"/>
    <mergeCell ref="H18:L18"/>
    <mergeCell ref="H20:L20"/>
    <mergeCell ref="A1:E1"/>
    <mergeCell ref="F1:Y1"/>
    <mergeCell ref="A2:A3"/>
    <mergeCell ref="B2:C2"/>
    <mergeCell ref="D2:E2"/>
    <mergeCell ref="F2:G2"/>
    <mergeCell ref="H2:L2"/>
    <mergeCell ref="M2:Q2"/>
    <mergeCell ref="R2:S2"/>
    <mergeCell ref="T2:Y2"/>
  </mergeCells>
  <pageMargins left="0.7" right="0.7" top="0.75" bottom="0.75" header="0.3" footer="0.3"/>
  <pageSetup orientation="portrait" horizontalDpi="0" verticalDpi="0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22FDE-239F-4F20-AF2A-FE1730A7353C}">
  <dimension ref="A1:K20"/>
  <sheetViews>
    <sheetView zoomScale="150" zoomScaleNormal="150" workbookViewId="0">
      <selection sqref="A1:A1048576"/>
    </sheetView>
  </sheetViews>
  <sheetFormatPr baseColWidth="10" defaultColWidth="6.83203125" defaultRowHeight="16" x14ac:dyDescent="0.2"/>
  <cols>
    <col min="1" max="2" width="6.83203125" style="1"/>
    <col min="3" max="3" width="6.83203125" style="102" customWidth="1"/>
    <col min="4" max="7" width="6.83203125" style="1"/>
    <col min="8" max="8" width="6.83203125" style="102" customWidth="1"/>
    <col min="9" max="9" width="6.83203125" style="1"/>
    <col min="10" max="10" width="6.83203125" style="1" customWidth="1"/>
    <col min="11" max="16384" width="6.83203125" style="1"/>
  </cols>
  <sheetData>
    <row r="1" spans="1:11" ht="34" x14ac:dyDescent="0.2">
      <c r="A1" s="21" t="s">
        <v>50</v>
      </c>
      <c r="B1" s="142" t="s">
        <v>49</v>
      </c>
      <c r="C1" s="141" t="s">
        <v>48</v>
      </c>
      <c r="D1" s="1452" t="s">
        <v>14</v>
      </c>
      <c r="E1" s="1610"/>
      <c r="F1" s="1369" t="s">
        <v>27</v>
      </c>
      <c r="G1" s="1450"/>
      <c r="H1" s="1450"/>
      <c r="I1" s="1450"/>
      <c r="J1" s="1450"/>
      <c r="K1" s="1451"/>
    </row>
    <row r="2" spans="1:11" x14ac:dyDescent="0.2">
      <c r="A2" s="140">
        <v>20</v>
      </c>
      <c r="B2" s="139">
        <v>68.3</v>
      </c>
      <c r="C2" s="138">
        <f t="array" ref="C2:C12">MMULT(D2:E12,F8:F9)</f>
        <v>70.521276595744681</v>
      </c>
      <c r="D2" s="137">
        <v>1</v>
      </c>
      <c r="E2" s="136">
        <f t="shared" ref="E2:E12" si="0">(A2-A$13)/A$14</f>
        <v>-1.8565582432658283</v>
      </c>
      <c r="F2" s="135" t="s">
        <v>47</v>
      </c>
      <c r="G2" s="134" t="s">
        <v>30</v>
      </c>
      <c r="H2" s="133" t="s">
        <v>31</v>
      </c>
      <c r="I2" s="133" t="s">
        <v>32</v>
      </c>
      <c r="J2" s="132" t="s">
        <v>3</v>
      </c>
      <c r="K2" s="131" t="s">
        <v>33</v>
      </c>
    </row>
    <row r="3" spans="1:11" x14ac:dyDescent="0.2">
      <c r="A3" s="52">
        <v>30</v>
      </c>
      <c r="B3" s="116">
        <v>55.3</v>
      </c>
      <c r="C3" s="115">
        <v>55.313829787234042</v>
      </c>
      <c r="D3" s="89">
        <v>1</v>
      </c>
      <c r="E3" s="37">
        <f t="shared" si="0"/>
        <v>-0.72199487238115567</v>
      </c>
      <c r="F3" s="130" t="s">
        <v>5</v>
      </c>
      <c r="G3" s="119">
        <f>SUMSQ(C2:C12)-COUNT(B2:B12)*AVERAGE(B2:B12)^2</f>
        <v>1976.2768375241831</v>
      </c>
      <c r="H3" s="88">
        <f>COUNT(D2:E2)-1</f>
        <v>1</v>
      </c>
      <c r="I3" s="80">
        <f>G3/H3</f>
        <v>1976.2768375241831</v>
      </c>
      <c r="J3" s="81">
        <f>I3/I4</f>
        <v>29.346354704915004</v>
      </c>
      <c r="K3" s="80">
        <f>FDIST(J3,H3,H4)</f>
        <v>4.2336778983829374E-4</v>
      </c>
    </row>
    <row r="4" spans="1:11" x14ac:dyDescent="0.2">
      <c r="A4" s="52">
        <v>30</v>
      </c>
      <c r="B4" s="116">
        <v>58.1</v>
      </c>
      <c r="C4" s="115">
        <v>55.313829787234042</v>
      </c>
      <c r="D4" s="89">
        <v>1</v>
      </c>
      <c r="E4" s="37">
        <f t="shared" si="0"/>
        <v>-0.72199487238115567</v>
      </c>
      <c r="F4" s="67" t="s">
        <v>6</v>
      </c>
      <c r="G4" s="117">
        <f>SUMSQ(B2:B12)-SUMSQ(C2:C12)</f>
        <v>606.08861702127251</v>
      </c>
      <c r="H4" s="76">
        <f>D14-COUNT(D2:E2)</f>
        <v>9</v>
      </c>
      <c r="I4" s="77">
        <f>G4/H4</f>
        <v>67.343179669030278</v>
      </c>
      <c r="J4" s="129" t="s">
        <v>36</v>
      </c>
      <c r="K4" s="80">
        <f>SQRT(I4)</f>
        <v>8.2062890315312611</v>
      </c>
    </row>
    <row r="5" spans="1:11" ht="18" x14ac:dyDescent="0.2">
      <c r="A5" s="52">
        <v>30</v>
      </c>
      <c r="B5" s="116">
        <v>44.4</v>
      </c>
      <c r="C5" s="115">
        <v>55.313829787234042</v>
      </c>
      <c r="D5" s="89">
        <v>1</v>
      </c>
      <c r="E5" s="37">
        <f t="shared" si="0"/>
        <v>-0.72199487238115567</v>
      </c>
      <c r="F5" s="67" t="s">
        <v>7</v>
      </c>
      <c r="G5" s="128">
        <f>DEVSQ(B2:B12)</f>
        <v>2582.3654545454547</v>
      </c>
      <c r="H5" s="93">
        <f>D14-1</f>
        <v>10</v>
      </c>
      <c r="I5" s="76">
        <f>G5/H5</f>
        <v>258.23654545454548</v>
      </c>
      <c r="J5" s="127" t="s">
        <v>46</v>
      </c>
      <c r="K5" s="77">
        <f>G3/G5</f>
        <v>0.76529711704652792</v>
      </c>
    </row>
    <row r="6" spans="1:11" x14ac:dyDescent="0.2">
      <c r="A6" s="52">
        <v>30</v>
      </c>
      <c r="B6" s="116">
        <v>61.2</v>
      </c>
      <c r="C6" s="115">
        <v>55.313829787234042</v>
      </c>
      <c r="D6" s="89">
        <v>1</v>
      </c>
      <c r="E6" s="37">
        <f t="shared" si="0"/>
        <v>-0.72199487238115567</v>
      </c>
      <c r="F6" s="1369" t="s">
        <v>45</v>
      </c>
      <c r="G6" s="1450"/>
      <c r="H6" s="1450"/>
      <c r="I6" s="1451"/>
    </row>
    <row r="7" spans="1:11" ht="18" x14ac:dyDescent="0.2">
      <c r="A7" s="29">
        <v>40</v>
      </c>
      <c r="B7" s="126">
        <v>35.9</v>
      </c>
      <c r="C7" s="125">
        <v>40.106382978723403</v>
      </c>
      <c r="D7" s="87">
        <v>1</v>
      </c>
      <c r="E7" s="124">
        <f t="shared" si="0"/>
        <v>0.41256849850351696</v>
      </c>
      <c r="F7" s="23" t="s">
        <v>39</v>
      </c>
      <c r="G7" s="123" t="s">
        <v>44</v>
      </c>
      <c r="H7" s="122" t="s">
        <v>43</v>
      </c>
      <c r="I7" s="121" t="s">
        <v>33</v>
      </c>
      <c r="J7" s="23" t="s">
        <v>34</v>
      </c>
    </row>
    <row r="8" spans="1:11" x14ac:dyDescent="0.2">
      <c r="A8" s="52">
        <v>40</v>
      </c>
      <c r="B8" s="116">
        <v>42.6</v>
      </c>
      <c r="C8" s="115">
        <v>40.106382978723403</v>
      </c>
      <c r="D8" s="89">
        <v>1</v>
      </c>
      <c r="E8" s="37">
        <f t="shared" si="0"/>
        <v>0.41256849850351696</v>
      </c>
      <c r="F8" s="120">
        <f t="array" ref="F8:F9">MMULT(D17:E18,J8:J9)</f>
        <v>45.636363636363633</v>
      </c>
      <c r="G8" s="119" t="e">
        <f t="array" aca="1" ref="G8:G9" ca="1">[5]!DIAG(D17:E18)*I4</f>
        <v>#NAME?</v>
      </c>
      <c r="H8" s="81" t="e">
        <f ca="1">F8/G8</f>
        <v>#NAME?</v>
      </c>
      <c r="I8" s="80" t="e">
        <f ca="1">TDIST(ABS(H8),H4,2)</f>
        <v>#NAME?</v>
      </c>
      <c r="J8" s="118">
        <f t="array" ref="J8:J9">MMULT(TRANSPOSE(D2:E12),B2:B12)</f>
        <v>502</v>
      </c>
    </row>
    <row r="9" spans="1:11" x14ac:dyDescent="0.2">
      <c r="A9" s="52">
        <v>40</v>
      </c>
      <c r="B9" s="116">
        <v>34.5</v>
      </c>
      <c r="C9" s="115">
        <v>40.106382978723403</v>
      </c>
      <c r="D9" s="89">
        <v>1</v>
      </c>
      <c r="E9" s="37">
        <f t="shared" si="0"/>
        <v>0.41256849850351696</v>
      </c>
      <c r="F9" s="92">
        <v>-13.40378792297223</v>
      </c>
      <c r="G9" s="117" t="e">
        <f ca="1"/>
        <v>#NAME?</v>
      </c>
      <c r="H9" s="106" t="e">
        <f ca="1">F9/G9</f>
        <v>#NAME?</v>
      </c>
      <c r="I9" s="77" t="e">
        <f ca="1">TDIST(ABS(H9),H4,2)</f>
        <v>#NAME?</v>
      </c>
      <c r="J9" s="92">
        <v>-147.44166715269463</v>
      </c>
    </row>
    <row r="10" spans="1:11" x14ac:dyDescent="0.2">
      <c r="A10" s="61">
        <v>40</v>
      </c>
      <c r="B10" s="114">
        <v>58.6</v>
      </c>
      <c r="C10" s="113">
        <v>40.106382978723403</v>
      </c>
      <c r="D10" s="75">
        <v>1</v>
      </c>
      <c r="E10" s="66">
        <f t="shared" si="0"/>
        <v>0.41256849850351696</v>
      </c>
    </row>
    <row r="11" spans="1:11" x14ac:dyDescent="0.2">
      <c r="A11" s="52">
        <v>50</v>
      </c>
      <c r="B11" s="116">
        <v>18.399999999999999</v>
      </c>
      <c r="C11" s="115">
        <v>24.898936170212767</v>
      </c>
      <c r="D11" s="89">
        <v>1</v>
      </c>
      <c r="E11" s="37">
        <f t="shared" si="0"/>
        <v>1.5471318693881897</v>
      </c>
    </row>
    <row r="12" spans="1:11" x14ac:dyDescent="0.2">
      <c r="A12" s="61">
        <v>50</v>
      </c>
      <c r="B12" s="114">
        <v>24.7</v>
      </c>
      <c r="C12" s="113">
        <v>24.898936170212767</v>
      </c>
      <c r="D12" s="75">
        <v>1</v>
      </c>
      <c r="E12" s="66">
        <f t="shared" si="0"/>
        <v>1.5471318693881897</v>
      </c>
    </row>
    <row r="13" spans="1:11" ht="18" x14ac:dyDescent="0.2">
      <c r="A13" s="112">
        <f>AVERAGE(A2:A12)</f>
        <v>36.363636363636367</v>
      </c>
      <c r="B13" s="111">
        <f>AVERAGE(B2:B12)</f>
        <v>45.636363636363633</v>
      </c>
      <c r="C13" s="110" t="s">
        <v>42</v>
      </c>
      <c r="D13" s="1317" t="s">
        <v>35</v>
      </c>
      <c r="E13" s="1319"/>
    </row>
    <row r="14" spans="1:11" x14ac:dyDescent="0.2">
      <c r="A14" s="109">
        <f>_xlfn.STDEV.P(A2:A12)</f>
        <v>8.813963377120599</v>
      </c>
      <c r="B14" s="108">
        <f>_xlfn.STDEV.P(B2:B12)</f>
        <v>15.321895961915704</v>
      </c>
      <c r="C14" s="107" t="s">
        <v>41</v>
      </c>
      <c r="D14" s="81">
        <f t="array" ref="D14:E15">MMULT(TRANSPOSE(D2:E12),D2:E12)</f>
        <v>11</v>
      </c>
      <c r="E14" s="80">
        <v>-3.5527136788005009E-15</v>
      </c>
    </row>
    <row r="15" spans="1:11" x14ac:dyDescent="0.2">
      <c r="C15" s="1"/>
      <c r="D15" s="106">
        <v>-3.5527136788005009E-15</v>
      </c>
      <c r="E15" s="77">
        <v>10.999999999999996</v>
      </c>
    </row>
    <row r="16" spans="1:11" ht="18" x14ac:dyDescent="0.2">
      <c r="C16" s="1"/>
      <c r="D16" s="1317" t="s">
        <v>40</v>
      </c>
      <c r="E16" s="1319"/>
    </row>
    <row r="17" spans="3:5" x14ac:dyDescent="0.2">
      <c r="C17" s="1"/>
      <c r="D17" s="81">
        <f t="array" ref="D17:E18">MINVERSE(D14:E15)</f>
        <v>9.0909090909090912E-2</v>
      </c>
      <c r="E17" s="80">
        <v>2.936127007273142E-17</v>
      </c>
    </row>
    <row r="18" spans="3:5" x14ac:dyDescent="0.2">
      <c r="C18" s="1"/>
      <c r="D18" s="106">
        <v>2.9361270072731426E-17</v>
      </c>
      <c r="E18" s="77">
        <v>9.0909090909090939E-2</v>
      </c>
    </row>
    <row r="19" spans="3:5" x14ac:dyDescent="0.2">
      <c r="C19" s="1"/>
    </row>
    <row r="20" spans="3:5" x14ac:dyDescent="0.2">
      <c r="C20" s="1"/>
    </row>
  </sheetData>
  <mergeCells count="5">
    <mergeCell ref="D13:E13"/>
    <mergeCell ref="D16:E16"/>
    <mergeCell ref="D1:E1"/>
    <mergeCell ref="F1:K1"/>
    <mergeCell ref="F6:I6"/>
  </mergeCells>
  <conditionalFormatting sqref="D14:E15 D17:E18">
    <cfRule type="cellIs" dxfId="13" priority="1" operator="between">
      <formula>-0.0001</formula>
      <formula>0.0001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4AFB1-BBCF-4A91-A81C-1E510D4ACED2}">
  <dimension ref="A1:AP104"/>
  <sheetViews>
    <sheetView zoomScaleNormal="100" workbookViewId="0">
      <pane ySplit="2" topLeftCell="A21" activePane="bottomLeft" state="frozen"/>
      <selection activeCell="AA1" sqref="AA1"/>
      <selection pane="bottomLeft" activeCell="AA41" sqref="AA41"/>
    </sheetView>
  </sheetViews>
  <sheetFormatPr baseColWidth="10" defaultColWidth="6.83203125" defaultRowHeight="15" customHeight="1" x14ac:dyDescent="0.2"/>
  <cols>
    <col min="1" max="1" width="6.83203125" style="1049"/>
    <col min="2" max="2" width="6.83203125" style="1051"/>
    <col min="3" max="4" width="6.83203125" style="1052"/>
    <col min="5" max="5" width="6.83203125" style="1051"/>
    <col min="6" max="7" width="6.83203125" style="1049" customWidth="1"/>
    <col min="8" max="15" width="6.83203125" style="1049" hidden="1" customWidth="1"/>
    <col min="16" max="17" width="6.83203125" style="1049" customWidth="1"/>
    <col min="18" max="25" width="6.83203125" style="1049" hidden="1" customWidth="1"/>
    <col min="26" max="26" width="6.83203125" style="1049"/>
    <col min="27" max="27" width="6.83203125" style="1049" customWidth="1"/>
    <col min="28" max="28" width="6.83203125" style="1050" customWidth="1"/>
    <col min="29" max="40" width="6.83203125" style="1049" customWidth="1"/>
    <col min="41" max="41" width="6.83203125" style="1049"/>
    <col min="42" max="42" width="6.83203125" style="1049" customWidth="1"/>
    <col min="43" max="16384" width="6.83203125" style="1049"/>
  </cols>
  <sheetData>
    <row r="1" spans="1:42" ht="15" customHeight="1" x14ac:dyDescent="0.2">
      <c r="A1" s="1317" t="s">
        <v>84</v>
      </c>
      <c r="B1" s="1318"/>
      <c r="C1" s="1318"/>
      <c r="D1" s="1319"/>
      <c r="F1" s="1317" t="s">
        <v>530</v>
      </c>
      <c r="G1" s="1318"/>
      <c r="H1" s="1318"/>
      <c r="I1" s="1318"/>
      <c r="J1" s="1318"/>
      <c r="K1" s="1318"/>
      <c r="L1" s="1318"/>
      <c r="M1" s="1318"/>
      <c r="N1" s="1318"/>
      <c r="O1" s="1319"/>
      <c r="P1" s="1320" t="s">
        <v>529</v>
      </c>
      <c r="Q1" s="1318"/>
      <c r="R1" s="1318"/>
      <c r="S1" s="1318"/>
      <c r="T1" s="1318"/>
      <c r="U1" s="1318"/>
      <c r="V1" s="1318"/>
      <c r="W1" s="1318"/>
      <c r="X1" s="1318"/>
      <c r="Y1" s="1319"/>
      <c r="Z1" s="1317" t="s">
        <v>528</v>
      </c>
      <c r="AA1" s="1324"/>
      <c r="AB1" s="1324"/>
      <c r="AC1" s="1324"/>
      <c r="AD1" s="1324"/>
      <c r="AE1" s="1324"/>
      <c r="AF1" s="1324"/>
      <c r="AG1" s="1324"/>
      <c r="AH1" s="1324"/>
      <c r="AI1" s="1324"/>
      <c r="AJ1" s="1325"/>
    </row>
    <row r="2" spans="1:42" s="1085" customFormat="1" ht="15" customHeight="1" x14ac:dyDescent="0.2">
      <c r="A2" s="18" t="s">
        <v>79</v>
      </c>
      <c r="B2" s="1124" t="s">
        <v>315</v>
      </c>
      <c r="C2" s="1123" t="s">
        <v>527</v>
      </c>
      <c r="D2" s="1122" t="s">
        <v>219</v>
      </c>
      <c r="E2" s="1121" t="s">
        <v>48</v>
      </c>
      <c r="F2" s="25" t="s">
        <v>515</v>
      </c>
      <c r="G2" s="19" t="s">
        <v>526</v>
      </c>
      <c r="H2" s="19" t="s">
        <v>505</v>
      </c>
      <c r="I2" s="19" t="s">
        <v>504</v>
      </c>
      <c r="J2" s="19" t="s">
        <v>503</v>
      </c>
      <c r="K2" s="19" t="s">
        <v>502</v>
      </c>
      <c r="L2" s="19" t="s">
        <v>525</v>
      </c>
      <c r="M2" s="19" t="s">
        <v>524</v>
      </c>
      <c r="N2" s="19" t="s">
        <v>523</v>
      </c>
      <c r="O2" s="20" t="s">
        <v>522</v>
      </c>
      <c r="P2" s="1115" t="s">
        <v>521</v>
      </c>
      <c r="Q2" s="1114" t="s">
        <v>520</v>
      </c>
      <c r="R2" s="1114" t="s">
        <v>501</v>
      </c>
      <c r="S2" s="1114" t="s">
        <v>500</v>
      </c>
      <c r="T2" s="1114" t="s">
        <v>499</v>
      </c>
      <c r="U2" s="1114" t="s">
        <v>498</v>
      </c>
      <c r="V2" s="1114" t="s">
        <v>519</v>
      </c>
      <c r="W2" s="1114" t="s">
        <v>518</v>
      </c>
      <c r="X2" s="1114" t="s">
        <v>517</v>
      </c>
      <c r="Y2" s="1120" t="s">
        <v>516</v>
      </c>
      <c r="Z2" s="1116"/>
      <c r="AA2" s="1117" t="s">
        <v>515</v>
      </c>
      <c r="AB2" s="1119" t="s">
        <v>514</v>
      </c>
      <c r="AC2" s="1116" t="s">
        <v>513</v>
      </c>
      <c r="AD2" s="1116" t="s">
        <v>512</v>
      </c>
      <c r="AE2" s="1116" t="s">
        <v>511</v>
      </c>
      <c r="AF2" s="1116" t="s">
        <v>510</v>
      </c>
      <c r="AG2" s="1116" t="s">
        <v>509</v>
      </c>
      <c r="AH2" s="1116" t="s">
        <v>508</v>
      </c>
      <c r="AI2" s="1116" t="s">
        <v>507</v>
      </c>
      <c r="AJ2" s="1118" t="s">
        <v>506</v>
      </c>
      <c r="AO2" s="19"/>
    </row>
    <row r="3" spans="1:42" ht="15" customHeight="1" x14ac:dyDescent="0.2">
      <c r="A3" s="1107">
        <v>1</v>
      </c>
      <c r="B3" s="1067">
        <v>-3</v>
      </c>
      <c r="C3" s="1052">
        <f t="shared" ref="C3:C34" si="0">(B3-B$103)/B$104*E$104</f>
        <v>-4</v>
      </c>
      <c r="D3" s="1066">
        <v>0.65</v>
      </c>
      <c r="E3" s="1113" t="e">
        <f t="array" aca="1" ref="E3:E102" ca="1">MMULT(H,a)</f>
        <v>#NAME?</v>
      </c>
      <c r="F3" s="1112">
        <f t="shared" ref="F3:F34" si="1">EXP(-(C3^2)/2)</f>
        <v>3.3546262790251185E-4</v>
      </c>
      <c r="G3" s="1080">
        <f t="shared" ref="G3:G34" si="2">$F3*$C3</f>
        <v>-1.3418505116100474E-3</v>
      </c>
      <c r="H3" s="1080">
        <f t="shared" ref="H3:H34" si="3">$F3*$C3^2</f>
        <v>5.3674020464401897E-3</v>
      </c>
      <c r="I3" s="1080">
        <f t="shared" ref="I3:I34" si="4">$F3*$C3^3</f>
        <v>-2.1469608185760759E-2</v>
      </c>
      <c r="J3" s="1080">
        <f t="shared" ref="J3:J34" si="5">$F3*$C3^4</f>
        <v>8.5878432743043034E-2</v>
      </c>
      <c r="K3" s="1080">
        <f t="shared" ref="K3:K34" si="6">$F3*$C3^5</f>
        <v>-0.34351373097217214</v>
      </c>
      <c r="L3" s="1080">
        <f t="shared" ref="L3:L34" si="7">$F3*$C3^6</f>
        <v>1.3740549238886886</v>
      </c>
      <c r="M3" s="1080">
        <f t="shared" ref="M3:M34" si="8">$F3*$C3^7</f>
        <v>-5.4962196955547542</v>
      </c>
      <c r="N3" s="1080">
        <f t="shared" ref="N3:N34" si="9">$F3*$C3^8</f>
        <v>21.984878782219017</v>
      </c>
      <c r="O3" s="1080">
        <f t="shared" ref="O3:O34" si="10">$F3*$C3^9</f>
        <v>-87.939515128876067</v>
      </c>
      <c r="P3" s="1111" t="e">
        <f t="array" aca="1" ref="P3:Y102" ca="1">MMULT(wX,LT_INV)</f>
        <v>#NAME?</v>
      </c>
      <c r="Q3" s="1080" t="e">
        <f ca="1"/>
        <v>#NAME?</v>
      </c>
      <c r="R3" s="1080" t="e">
        <f ca="1"/>
        <v>#NAME?</v>
      </c>
      <c r="S3" s="1080" t="e">
        <f ca="1"/>
        <v>#NAME?</v>
      </c>
      <c r="T3" s="1080" t="e">
        <f ca="1"/>
        <v>#NAME?</v>
      </c>
      <c r="U3" s="1080" t="e">
        <f ca="1"/>
        <v>#NAME?</v>
      </c>
      <c r="V3" s="1080" t="e">
        <f ca="1"/>
        <v>#NAME?</v>
      </c>
      <c r="W3" s="1080" t="e">
        <f ca="1"/>
        <v>#NAME?</v>
      </c>
      <c r="X3" s="1080" t="e">
        <f ca="1"/>
        <v>#NAME?</v>
      </c>
      <c r="Y3" s="1086" t="e">
        <f ca="1"/>
        <v>#NAME?</v>
      </c>
      <c r="Z3" s="1092">
        <v>0</v>
      </c>
      <c r="AA3" s="1112">
        <f t="array" ref="AA3:AJ12">MMULT(TRANSPOSE(wX),wX)</f>
        <v>21.934116167277935</v>
      </c>
      <c r="AB3" s="1080">
        <v>2.3359792256734315E-17</v>
      </c>
      <c r="AC3" s="1080">
        <v>10.967054082573366</v>
      </c>
      <c r="AD3" s="1080">
        <v>2.7141205678326424E-15</v>
      </c>
      <c r="AE3" s="1080">
        <v>16.45051567192386</v>
      </c>
      <c r="AF3" s="1080">
        <v>2.1596982015259503E-14</v>
      </c>
      <c r="AG3" s="1080">
        <v>41.125218616128315</v>
      </c>
      <c r="AH3" s="1080">
        <v>7.889869313437714E-14</v>
      </c>
      <c r="AI3" s="1080">
        <v>143.9207567931999</v>
      </c>
      <c r="AJ3" s="1086">
        <v>5.647426970512015E-13</v>
      </c>
      <c r="AM3"/>
      <c r="AN3"/>
      <c r="AO3" s="1052"/>
    </row>
    <row r="4" spans="1:42" ht="15" customHeight="1" x14ac:dyDescent="0.2">
      <c r="A4" s="1068">
        <v>2</v>
      </c>
      <c r="B4" s="1067">
        <f t="shared" ref="B4:B35" si="11">B3+0.1</f>
        <v>-2.9</v>
      </c>
      <c r="C4" s="1052">
        <f t="shared" si="0"/>
        <v>-3.9191919191919187</v>
      </c>
      <c r="D4" s="1066">
        <v>0.5</v>
      </c>
      <c r="E4" s="1065" t="e">
        <f ca="1"/>
        <v>#NAME?</v>
      </c>
      <c r="F4" s="1064">
        <f t="shared" si="1"/>
        <v>4.6195981567234701E-4</v>
      </c>
      <c r="G4" s="1049">
        <f t="shared" si="2"/>
        <v>-1.8105091765744507E-3</v>
      </c>
      <c r="H4" s="1049">
        <f t="shared" si="3"/>
        <v>7.0957329344534014E-3</v>
      </c>
      <c r="I4" s="1049">
        <f t="shared" si="4"/>
        <v>-2.7809539177453733E-2</v>
      </c>
      <c r="J4" s="1049">
        <f t="shared" si="5"/>
        <v>0.10899092122072775</v>
      </c>
      <c r="K4" s="1049">
        <f t="shared" si="6"/>
        <v>-0.42715633771355921</v>
      </c>
      <c r="L4" s="1049">
        <f t="shared" si="7"/>
        <v>1.6741076669985953</v>
      </c>
      <c r="M4" s="1049">
        <f t="shared" si="8"/>
        <v>-6.5611492403581311</v>
      </c>
      <c r="N4" s="1049">
        <f t="shared" si="9"/>
        <v>25.714403083423786</v>
      </c>
      <c r="O4" s="1049">
        <f t="shared" si="10"/>
        <v>-100.77968077139825</v>
      </c>
      <c r="P4" s="1063" t="e">
        <f ca="1"/>
        <v>#NAME?</v>
      </c>
      <c r="Q4" s="1049" t="e">
        <f ca="1"/>
        <v>#NAME?</v>
      </c>
      <c r="R4" s="1049" t="e">
        <f ca="1"/>
        <v>#NAME?</v>
      </c>
      <c r="S4" s="1049" t="e">
        <f ca="1"/>
        <v>#NAME?</v>
      </c>
      <c r="T4" s="1049" t="e">
        <f ca="1"/>
        <v>#NAME?</v>
      </c>
      <c r="U4" s="1049" t="e">
        <f ca="1"/>
        <v>#NAME?</v>
      </c>
      <c r="V4" s="1049" t="e">
        <f ca="1"/>
        <v>#NAME?</v>
      </c>
      <c r="W4" s="1049" t="e">
        <f ca="1"/>
        <v>#NAME?</v>
      </c>
      <c r="X4" s="1049" t="e">
        <f ca="1"/>
        <v>#NAME?</v>
      </c>
      <c r="Y4" s="1062" t="e">
        <f ca="1"/>
        <v>#NAME?</v>
      </c>
      <c r="Z4" s="1110">
        <v>1</v>
      </c>
      <c r="AA4" s="1064">
        <v>2.3359792256734315E-17</v>
      </c>
      <c r="AB4" s="1049">
        <v>10.967054082573366</v>
      </c>
      <c r="AC4" s="1049">
        <v>2.4343981013972768E-15</v>
      </c>
      <c r="AD4" s="1049">
        <v>16.45051567192386</v>
      </c>
      <c r="AE4" s="1049">
        <v>2.2762607770898668E-14</v>
      </c>
      <c r="AF4" s="1049">
        <v>41.125218616128322</v>
      </c>
      <c r="AG4" s="1049">
        <v>8.1674684376809026E-14</v>
      </c>
      <c r="AH4" s="1049">
        <v>143.9207567931999</v>
      </c>
      <c r="AI4" s="1049">
        <v>5.3608506522806465E-13</v>
      </c>
      <c r="AJ4" s="1062">
        <v>647.35710547802432</v>
      </c>
      <c r="AM4"/>
      <c r="AN4"/>
      <c r="AO4" s="1052"/>
    </row>
    <row r="5" spans="1:42" ht="15" customHeight="1" x14ac:dyDescent="0.2">
      <c r="A5" s="1068">
        <v>3</v>
      </c>
      <c r="B5" s="1067">
        <f t="shared" si="11"/>
        <v>-2.8</v>
      </c>
      <c r="C5" s="1052">
        <f t="shared" si="0"/>
        <v>-3.8383838383838382</v>
      </c>
      <c r="D5" s="1066">
        <v>0.84000000000000008</v>
      </c>
      <c r="E5" s="1065" t="e">
        <f ca="1"/>
        <v>#NAME?</v>
      </c>
      <c r="F5" s="1064">
        <f t="shared" si="1"/>
        <v>6.3201638066275273E-4</v>
      </c>
      <c r="G5" s="1049">
        <f t="shared" si="2"/>
        <v>-2.4259214611297578E-3</v>
      </c>
      <c r="H5" s="1049">
        <f t="shared" si="3"/>
        <v>9.3116177295889703E-3</v>
      </c>
      <c r="I5" s="1049">
        <f t="shared" si="4"/>
        <v>-3.5741563002462708E-2</v>
      </c>
      <c r="J5" s="1049">
        <f t="shared" si="5"/>
        <v>0.1371898377872306</v>
      </c>
      <c r="K5" s="1049">
        <f t="shared" si="6"/>
        <v>-0.52658725615300628</v>
      </c>
      <c r="L5" s="1049">
        <f t="shared" si="7"/>
        <v>2.0212440135165899</v>
      </c>
      <c r="M5" s="1049">
        <f t="shared" si="8"/>
        <v>-7.7583103549121626</v>
      </c>
      <c r="N5" s="1049">
        <f t="shared" si="9"/>
        <v>29.779373079460825</v>
      </c>
      <c r="O5" s="1049">
        <f t="shared" si="10"/>
        <v>-114.30466434540519</v>
      </c>
      <c r="P5" s="1063" t="e">
        <f ca="1"/>
        <v>#NAME?</v>
      </c>
      <c r="Q5" s="1049" t="e">
        <f ca="1"/>
        <v>#NAME?</v>
      </c>
      <c r="R5" s="1049" t="e">
        <f ca="1"/>
        <v>#NAME?</v>
      </c>
      <c r="S5" s="1049" t="e">
        <f ca="1"/>
        <v>#NAME?</v>
      </c>
      <c r="T5" s="1049" t="e">
        <f ca="1"/>
        <v>#NAME?</v>
      </c>
      <c r="U5" s="1049" t="e">
        <f ca="1"/>
        <v>#NAME?</v>
      </c>
      <c r="V5" s="1049" t="e">
        <f ca="1"/>
        <v>#NAME?</v>
      </c>
      <c r="W5" s="1049" t="e">
        <f ca="1"/>
        <v>#NAME?</v>
      </c>
      <c r="X5" s="1049" t="e">
        <f ca="1"/>
        <v>#NAME?</v>
      </c>
      <c r="Y5" s="1062" t="e">
        <f ca="1"/>
        <v>#NAME?</v>
      </c>
      <c r="Z5" s="1110">
        <v>2</v>
      </c>
      <c r="AA5" s="1064">
        <v>10.967054082573366</v>
      </c>
      <c r="AB5" s="1049">
        <v>2.4343981013972768E-15</v>
      </c>
      <c r="AC5" s="1049">
        <v>16.45051567192386</v>
      </c>
      <c r="AD5" s="1049">
        <v>2.3133838594757705E-14</v>
      </c>
      <c r="AE5" s="1049">
        <v>41.125218616128315</v>
      </c>
      <c r="AF5" s="1049">
        <v>8.8379390611459385E-14</v>
      </c>
      <c r="AG5" s="1049">
        <v>143.9207567931999</v>
      </c>
      <c r="AH5" s="1049">
        <v>5.8295729354895798E-13</v>
      </c>
      <c r="AI5" s="1049">
        <v>647.35710547802432</v>
      </c>
      <c r="AJ5" s="1062">
        <v>3.1191715876843773E-12</v>
      </c>
      <c r="AM5"/>
      <c r="AN5"/>
      <c r="AO5" s="1052"/>
    </row>
    <row r="6" spans="1:42" ht="15" customHeight="1" x14ac:dyDescent="0.2">
      <c r="A6" s="1068">
        <v>4</v>
      </c>
      <c r="B6" s="1067">
        <f t="shared" si="11"/>
        <v>-2.6999999999999997</v>
      </c>
      <c r="C6" s="1052">
        <f t="shared" si="0"/>
        <v>-3.7575757575757573</v>
      </c>
      <c r="D6" s="1066">
        <v>0.88000000000000012</v>
      </c>
      <c r="E6" s="1065" t="e">
        <f ca="1"/>
        <v>#NAME?</v>
      </c>
      <c r="F6" s="1064">
        <f t="shared" si="1"/>
        <v>8.5904625755320622E-4</v>
      </c>
      <c r="G6" s="1049">
        <f t="shared" si="2"/>
        <v>-3.2279313920181079E-3</v>
      </c>
      <c r="H6" s="1049">
        <f t="shared" si="3"/>
        <v>1.2129196745765011E-2</v>
      </c>
      <c r="I6" s="1049">
        <f t="shared" si="4"/>
        <v>-4.557637565075337E-2</v>
      </c>
      <c r="J6" s="1049">
        <f t="shared" si="5"/>
        <v>0.1712566842634369</v>
      </c>
      <c r="K6" s="1049">
        <f t="shared" si="6"/>
        <v>-0.64350996511109615</v>
      </c>
      <c r="L6" s="1049">
        <f t="shared" si="7"/>
        <v>2.418037444659876</v>
      </c>
      <c r="M6" s="1049">
        <f t="shared" si="8"/>
        <v>-9.0859588829643823</v>
      </c>
      <c r="N6" s="1049">
        <f t="shared" si="9"/>
        <v>34.141178832957074</v>
      </c>
      <c r="O6" s="1049">
        <f t="shared" si="10"/>
        <v>-128.28806591777808</v>
      </c>
      <c r="P6" s="1063" t="e">
        <f ca="1"/>
        <v>#NAME?</v>
      </c>
      <c r="Q6" s="1049" t="e">
        <f ca="1"/>
        <v>#NAME?</v>
      </c>
      <c r="R6" s="1049" t="e">
        <f ca="1"/>
        <v>#NAME?</v>
      </c>
      <c r="S6" s="1049" t="e">
        <f ca="1"/>
        <v>#NAME?</v>
      </c>
      <c r="T6" s="1049" t="e">
        <f ca="1"/>
        <v>#NAME?</v>
      </c>
      <c r="U6" s="1049" t="e">
        <f ca="1"/>
        <v>#NAME?</v>
      </c>
      <c r="V6" s="1049" t="e">
        <f ca="1"/>
        <v>#NAME?</v>
      </c>
      <c r="W6" s="1049" t="e">
        <f ca="1"/>
        <v>#NAME?</v>
      </c>
      <c r="X6" s="1049" t="e">
        <f ca="1"/>
        <v>#NAME?</v>
      </c>
      <c r="Y6" s="1062" t="e">
        <f ca="1"/>
        <v>#NAME?</v>
      </c>
      <c r="Z6" s="1110">
        <v>3</v>
      </c>
      <c r="AA6" s="1064">
        <v>2.7141205678326424E-15</v>
      </c>
      <c r="AB6" s="1049">
        <v>16.45051567192386</v>
      </c>
      <c r="AC6" s="1049">
        <v>2.3133838594757705E-14</v>
      </c>
      <c r="AD6" s="1049">
        <v>41.125218616128322</v>
      </c>
      <c r="AE6" s="1049">
        <v>8.7782212054854369E-14</v>
      </c>
      <c r="AF6" s="1049">
        <v>143.9207567931999</v>
      </c>
      <c r="AG6" s="1049">
        <v>5.1186138660952452E-13</v>
      </c>
      <c r="AH6" s="1049">
        <v>647.35710547802432</v>
      </c>
      <c r="AI6" s="1049">
        <v>2.7700064464397656E-12</v>
      </c>
      <c r="AJ6" s="1062">
        <v>3555.7830634345055</v>
      </c>
      <c r="AM6"/>
      <c r="AN6"/>
      <c r="AO6" s="1052"/>
    </row>
    <row r="7" spans="1:42" ht="15" customHeight="1" x14ac:dyDescent="0.2">
      <c r="A7" s="1068">
        <v>5</v>
      </c>
      <c r="B7" s="1067">
        <f t="shared" si="11"/>
        <v>-2.5999999999999996</v>
      </c>
      <c r="C7" s="1052">
        <f t="shared" si="0"/>
        <v>-3.6767676767676765</v>
      </c>
      <c r="D7" s="1066">
        <v>0.24</v>
      </c>
      <c r="E7" s="1065" t="e">
        <f ca="1"/>
        <v>#NAME?</v>
      </c>
      <c r="F7" s="1064">
        <f t="shared" si="1"/>
        <v>1.160028999668893E-3</v>
      </c>
      <c r="G7" s="1049">
        <f t="shared" si="2"/>
        <v>-4.2651571300957279E-3</v>
      </c>
      <c r="H7" s="1049">
        <f t="shared" si="3"/>
        <v>1.5681991872271157E-2</v>
      </c>
      <c r="I7" s="1049">
        <f t="shared" si="4"/>
        <v>-5.7659040823300013E-2</v>
      </c>
      <c r="J7" s="1049">
        <f t="shared" si="5"/>
        <v>0.21199889757253743</v>
      </c>
      <c r="K7" s="1049">
        <f t="shared" si="6"/>
        <v>-0.77947069410508696</v>
      </c>
      <c r="L7" s="1049">
        <f t="shared" si="7"/>
        <v>2.8659326530732492</v>
      </c>
      <c r="M7" s="1049">
        <f t="shared" si="8"/>
        <v>-10.537368542612752</v>
      </c>
      <c r="N7" s="1049">
        <f t="shared" si="9"/>
        <v>38.743456055667089</v>
      </c>
      <c r="O7" s="1049">
        <f t="shared" si="10"/>
        <v>-142.45068691174566</v>
      </c>
      <c r="P7" s="1063" t="e">
        <f ca="1"/>
        <v>#NAME?</v>
      </c>
      <c r="Q7" s="1049" t="e">
        <f ca="1"/>
        <v>#NAME?</v>
      </c>
      <c r="R7" s="1049" t="e">
        <f ca="1"/>
        <v>#NAME?</v>
      </c>
      <c r="S7" s="1049" t="e">
        <f ca="1"/>
        <v>#NAME?</v>
      </c>
      <c r="T7" s="1049" t="e">
        <f ca="1"/>
        <v>#NAME?</v>
      </c>
      <c r="U7" s="1049" t="e">
        <f ca="1"/>
        <v>#NAME?</v>
      </c>
      <c r="V7" s="1049" t="e">
        <f ca="1"/>
        <v>#NAME?</v>
      </c>
      <c r="W7" s="1049" t="e">
        <f ca="1"/>
        <v>#NAME?</v>
      </c>
      <c r="X7" s="1049" t="e">
        <f ca="1"/>
        <v>#NAME?</v>
      </c>
      <c r="Y7" s="1062" t="e">
        <f ca="1"/>
        <v>#NAME?</v>
      </c>
      <c r="Z7" s="1110">
        <v>4</v>
      </c>
      <c r="AA7" s="1064">
        <v>16.45051567192386</v>
      </c>
      <c r="AB7" s="1049">
        <v>2.2762607770898668E-14</v>
      </c>
      <c r="AC7" s="1049">
        <v>41.125218616128315</v>
      </c>
      <c r="AD7" s="1049">
        <v>8.7782212054854369E-14</v>
      </c>
      <c r="AE7" s="1049">
        <v>143.9207567931999</v>
      </c>
      <c r="AF7" s="1049">
        <v>5.6295940131789735E-13</v>
      </c>
      <c r="AG7" s="1049">
        <v>647.35710547802432</v>
      </c>
      <c r="AH7" s="1049">
        <v>2.985833802426896E-12</v>
      </c>
      <c r="AI7" s="1049">
        <v>3555.783063434505</v>
      </c>
      <c r="AJ7" s="1062">
        <v>1.8141932400794758E-11</v>
      </c>
      <c r="AM7"/>
      <c r="AN7"/>
      <c r="AO7" s="1052"/>
    </row>
    <row r="8" spans="1:42" ht="15" customHeight="1" x14ac:dyDescent="0.2">
      <c r="A8" s="1068">
        <v>6</v>
      </c>
      <c r="B8" s="1067">
        <f t="shared" si="11"/>
        <v>-2.4999999999999996</v>
      </c>
      <c r="C8" s="1052">
        <f t="shared" si="0"/>
        <v>-3.5959595959595951</v>
      </c>
      <c r="D8" s="1066">
        <v>0.39</v>
      </c>
      <c r="E8" s="1065" t="e">
        <f ca="1"/>
        <v>#NAME?</v>
      </c>
      <c r="F8" s="1064">
        <f t="shared" si="1"/>
        <v>1.5562709937429313E-3</v>
      </c>
      <c r="G8" s="1049">
        <f t="shared" si="2"/>
        <v>-5.5962876138634689E-3</v>
      </c>
      <c r="H8" s="1049">
        <f t="shared" si="3"/>
        <v>2.0124024146822166E-2</v>
      </c>
      <c r="I8" s="1049">
        <f t="shared" si="4"/>
        <v>-7.2365177740087772E-2</v>
      </c>
      <c r="J8" s="1049">
        <f t="shared" si="5"/>
        <v>0.26022225530779036</v>
      </c>
      <c r="K8" s="1049">
        <f t="shared" si="6"/>
        <v>-0.93574871605629628</v>
      </c>
      <c r="L8" s="1049">
        <f t="shared" si="7"/>
        <v>3.3649145749095095</v>
      </c>
      <c r="M8" s="1049">
        <f t="shared" si="8"/>
        <v>-12.100096855230154</v>
      </c>
      <c r="N8" s="1049">
        <f t="shared" si="9"/>
        <v>43.511459398605389</v>
      </c>
      <c r="O8" s="1049">
        <f t="shared" si="10"/>
        <v>-156.46544995862135</v>
      </c>
      <c r="P8" s="1063" t="e">
        <f ca="1"/>
        <v>#NAME?</v>
      </c>
      <c r="Q8" s="1049" t="e">
        <f ca="1"/>
        <v>#NAME?</v>
      </c>
      <c r="R8" s="1049" t="e">
        <f ca="1"/>
        <v>#NAME?</v>
      </c>
      <c r="S8" s="1049" t="e">
        <f ca="1"/>
        <v>#NAME?</v>
      </c>
      <c r="T8" s="1049" t="e">
        <f ca="1"/>
        <v>#NAME?</v>
      </c>
      <c r="U8" s="1049" t="e">
        <f ca="1"/>
        <v>#NAME?</v>
      </c>
      <c r="V8" s="1049" t="e">
        <f ca="1"/>
        <v>#NAME?</v>
      </c>
      <c r="W8" s="1049" t="e">
        <f ca="1"/>
        <v>#NAME?</v>
      </c>
      <c r="X8" s="1049" t="e">
        <f ca="1"/>
        <v>#NAME?</v>
      </c>
      <c r="Y8" s="1062" t="e">
        <f ca="1"/>
        <v>#NAME?</v>
      </c>
      <c r="Z8" s="1110">
        <v>5</v>
      </c>
      <c r="AA8" s="1064">
        <v>2.1596982015259503E-14</v>
      </c>
      <c r="AB8" s="1049">
        <v>41.125218616128322</v>
      </c>
      <c r="AC8" s="1049">
        <v>8.8379390611459385E-14</v>
      </c>
      <c r="AD8" s="1049">
        <v>143.9207567931999</v>
      </c>
      <c r="AE8" s="1049">
        <v>5.6295940131789735E-13</v>
      </c>
      <c r="AF8" s="1049">
        <v>647.35710547802432</v>
      </c>
      <c r="AG8" s="1049">
        <v>2.9514168886635161E-12</v>
      </c>
      <c r="AH8" s="1049">
        <v>3555.7830634345055</v>
      </c>
      <c r="AI8" s="1049">
        <v>1.7147172570730618E-11</v>
      </c>
      <c r="AJ8" s="1062">
        <v>23036.065229774842</v>
      </c>
      <c r="AM8"/>
      <c r="AN8"/>
      <c r="AO8" s="1052"/>
    </row>
    <row r="9" spans="1:42" ht="15" customHeight="1" x14ac:dyDescent="0.2">
      <c r="A9" s="1068">
        <v>7</v>
      </c>
      <c r="B9" s="1067">
        <f t="shared" si="11"/>
        <v>-2.3999999999999995</v>
      </c>
      <c r="C9" s="1052">
        <f t="shared" si="0"/>
        <v>-3.5151515151515142</v>
      </c>
      <c r="D9" s="1066">
        <v>0.83000000000000007</v>
      </c>
      <c r="E9" s="1065" t="e">
        <f ca="1"/>
        <v>#NAME?</v>
      </c>
      <c r="F9" s="1064">
        <f t="shared" si="1"/>
        <v>2.0742718817600928E-3</v>
      </c>
      <c r="G9" s="1049">
        <f t="shared" si="2"/>
        <v>-7.2913799480051732E-3</v>
      </c>
      <c r="H9" s="1049">
        <f t="shared" si="3"/>
        <v>2.5630305271775754E-2</v>
      </c>
      <c r="I9" s="1049">
        <f t="shared" si="4"/>
        <v>-9.0094406409878383E-2</v>
      </c>
      <c r="J9" s="1049">
        <f t="shared" si="5"/>
        <v>0.31669548919836032</v>
      </c>
      <c r="K9" s="1049">
        <f t="shared" si="6"/>
        <v>-1.1132326286972665</v>
      </c>
      <c r="L9" s="1049">
        <f t="shared" si="7"/>
        <v>3.9131813614812985</v>
      </c>
      <c r="M9" s="1049">
        <f t="shared" si="8"/>
        <v>-13.755425391873654</v>
      </c>
      <c r="N9" s="1049">
        <f t="shared" si="9"/>
        <v>48.352404407798282</v>
      </c>
      <c r="O9" s="1049">
        <f t="shared" si="10"/>
        <v>-169.9660276152909</v>
      </c>
      <c r="P9" s="1063" t="e">
        <f ca="1"/>
        <v>#NAME?</v>
      </c>
      <c r="Q9" s="1049" t="e">
        <f ca="1"/>
        <v>#NAME?</v>
      </c>
      <c r="R9" s="1049" t="e">
        <f ca="1"/>
        <v>#NAME?</v>
      </c>
      <c r="S9" s="1049" t="e">
        <f ca="1"/>
        <v>#NAME?</v>
      </c>
      <c r="T9" s="1049" t="e">
        <f ca="1"/>
        <v>#NAME?</v>
      </c>
      <c r="U9" s="1049" t="e">
        <f ca="1"/>
        <v>#NAME?</v>
      </c>
      <c r="V9" s="1049" t="e">
        <f ca="1"/>
        <v>#NAME?</v>
      </c>
      <c r="W9" s="1049" t="e">
        <f ca="1"/>
        <v>#NAME?</v>
      </c>
      <c r="X9" s="1049" t="e">
        <f ca="1"/>
        <v>#NAME?</v>
      </c>
      <c r="Y9" s="1062" t="e">
        <f ca="1"/>
        <v>#NAME?</v>
      </c>
      <c r="Z9" s="1110">
        <v>6</v>
      </c>
      <c r="AA9" s="1064">
        <v>41.125218616128315</v>
      </c>
      <c r="AB9" s="1049">
        <v>8.1674684376809026E-14</v>
      </c>
      <c r="AC9" s="1049">
        <v>143.9207567931999</v>
      </c>
      <c r="AD9" s="1049">
        <v>5.1186138660952452E-13</v>
      </c>
      <c r="AE9" s="1049">
        <v>647.35710547802432</v>
      </c>
      <c r="AF9" s="1049">
        <v>2.9514168886635161E-12</v>
      </c>
      <c r="AG9" s="1049">
        <v>3555.7830634345055</v>
      </c>
      <c r="AH9" s="1049">
        <v>1.8101076193488552E-11</v>
      </c>
      <c r="AI9" s="1049">
        <v>23036.065229774846</v>
      </c>
      <c r="AJ9" s="1062">
        <v>1.3716316971112974E-10</v>
      </c>
      <c r="AM9" s="1081"/>
      <c r="AO9" s="1052"/>
    </row>
    <row r="10" spans="1:42" ht="15" customHeight="1" x14ac:dyDescent="0.2">
      <c r="A10" s="1068">
        <v>8</v>
      </c>
      <c r="B10" s="1067">
        <f t="shared" si="11"/>
        <v>-2.2999999999999994</v>
      </c>
      <c r="C10" s="1052">
        <f t="shared" si="0"/>
        <v>-3.4343434343434338</v>
      </c>
      <c r="D10" s="1066">
        <v>0.95</v>
      </c>
      <c r="E10" s="1065" t="e">
        <f ca="1"/>
        <v>#NAME?</v>
      </c>
      <c r="F10" s="1064">
        <f t="shared" si="1"/>
        <v>2.7466936149496335E-3</v>
      </c>
      <c r="G10" s="1049">
        <f t="shared" si="2"/>
        <v>-9.4330891826553045E-3</v>
      </c>
      <c r="H10" s="1049">
        <f t="shared" si="3"/>
        <v>3.2396467900028321E-2</v>
      </c>
      <c r="I10" s="1049">
        <f t="shared" si="4"/>
        <v>-0.11126059682838006</v>
      </c>
      <c r="J10" s="1049">
        <f t="shared" si="5"/>
        <v>0.382107100218679</v>
      </c>
      <c r="K10" s="1049">
        <f t="shared" si="6"/>
        <v>-1.3122870108520286</v>
      </c>
      <c r="L10" s="1049">
        <f t="shared" si="7"/>
        <v>4.5068442796938353</v>
      </c>
      <c r="M10" s="1049">
        <f t="shared" si="8"/>
        <v>-15.478051061574785</v>
      </c>
      <c r="N10" s="1049">
        <f t="shared" si="9"/>
        <v>53.156943039751781</v>
      </c>
      <c r="O10" s="1049">
        <f t="shared" si="10"/>
        <v>-182.55919831833941</v>
      </c>
      <c r="P10" s="1063" t="e">
        <f ca="1"/>
        <v>#NAME?</v>
      </c>
      <c r="Q10" s="1049" t="e">
        <f ca="1"/>
        <v>#NAME?</v>
      </c>
      <c r="R10" s="1049" t="e">
        <f ca="1"/>
        <v>#NAME?</v>
      </c>
      <c r="S10" s="1049" t="e">
        <f ca="1"/>
        <v>#NAME?</v>
      </c>
      <c r="T10" s="1049" t="e">
        <f ca="1"/>
        <v>#NAME?</v>
      </c>
      <c r="U10" s="1049" t="e">
        <f ca="1"/>
        <v>#NAME?</v>
      </c>
      <c r="V10" s="1049" t="e">
        <f ca="1"/>
        <v>#NAME?</v>
      </c>
      <c r="W10" s="1049" t="e">
        <f ca="1"/>
        <v>#NAME?</v>
      </c>
      <c r="X10" s="1049" t="e">
        <f ca="1"/>
        <v>#NAME?</v>
      </c>
      <c r="Y10" s="1062" t="e">
        <f ca="1"/>
        <v>#NAME?</v>
      </c>
      <c r="Z10" s="1110">
        <v>7</v>
      </c>
      <c r="AA10" s="1064">
        <v>7.889869313437714E-14</v>
      </c>
      <c r="AB10" s="1049">
        <v>143.9207567931999</v>
      </c>
      <c r="AC10" s="1049">
        <v>5.8295729354895798E-13</v>
      </c>
      <c r="AD10" s="1049">
        <v>647.35710547802432</v>
      </c>
      <c r="AE10" s="1049">
        <v>2.985833802426896E-12</v>
      </c>
      <c r="AF10" s="1049">
        <v>3555.7830634345055</v>
      </c>
      <c r="AG10" s="1049">
        <v>1.8101076193488552E-11</v>
      </c>
      <c r="AH10" s="1049">
        <v>23036.065229774849</v>
      </c>
      <c r="AI10" s="1049">
        <v>1.3173462320992257E-10</v>
      </c>
      <c r="AJ10" s="1062">
        <v>171519.63870339916</v>
      </c>
      <c r="AM10"/>
      <c r="AN10"/>
      <c r="AO10" s="1052"/>
    </row>
    <row r="11" spans="1:42" ht="15" customHeight="1" x14ac:dyDescent="0.2">
      <c r="A11" s="1068">
        <v>9</v>
      </c>
      <c r="B11" s="1067">
        <f t="shared" si="11"/>
        <v>-2.1999999999999993</v>
      </c>
      <c r="C11" s="1052">
        <f t="shared" si="0"/>
        <v>-3.3535353535353525</v>
      </c>
      <c r="D11" s="1066">
        <v>0.32999999999999996</v>
      </c>
      <c r="E11" s="1065" t="e">
        <f ca="1"/>
        <v>#NAME?</v>
      </c>
      <c r="F11" s="1064">
        <f t="shared" si="1"/>
        <v>3.6134232628503363E-3</v>
      </c>
      <c r="G11" s="1049">
        <f t="shared" si="2"/>
        <v>-1.211774265925567E-2</v>
      </c>
      <c r="H11" s="1049">
        <f t="shared" si="3"/>
        <v>4.0637278412857386E-2</v>
      </c>
      <c r="I11" s="1049">
        <f t="shared" si="4"/>
        <v>-0.13627854982897622</v>
      </c>
      <c r="J11" s="1049">
        <f t="shared" si="5"/>
        <v>0.45701493478000094</v>
      </c>
      <c r="K11" s="1049">
        <f t="shared" si="6"/>
        <v>-1.5326157408783865</v>
      </c>
      <c r="L11" s="1049">
        <f t="shared" si="7"/>
        <v>5.1396810704204459</v>
      </c>
      <c r="M11" s="1049">
        <f t="shared" si="8"/>
        <v>-17.236102175551391</v>
      </c>
      <c r="N11" s="1049">
        <f t="shared" si="9"/>
        <v>57.801878002859191</v>
      </c>
      <c r="O11" s="1049">
        <f t="shared" si="10"/>
        <v>-193.8406413833257</v>
      </c>
      <c r="P11" s="1063" t="e">
        <f ca="1"/>
        <v>#NAME?</v>
      </c>
      <c r="Q11" s="1049" t="e">
        <f ca="1"/>
        <v>#NAME?</v>
      </c>
      <c r="R11" s="1049" t="e">
        <f ca="1"/>
        <v>#NAME?</v>
      </c>
      <c r="S11" s="1049" t="e">
        <f ca="1"/>
        <v>#NAME?</v>
      </c>
      <c r="T11" s="1049" t="e">
        <f ca="1"/>
        <v>#NAME?</v>
      </c>
      <c r="U11" s="1049" t="e">
        <f ca="1"/>
        <v>#NAME?</v>
      </c>
      <c r="V11" s="1049" t="e">
        <f ca="1"/>
        <v>#NAME?</v>
      </c>
      <c r="W11" s="1049" t="e">
        <f ca="1"/>
        <v>#NAME?</v>
      </c>
      <c r="X11" s="1049" t="e">
        <f ca="1"/>
        <v>#NAME?</v>
      </c>
      <c r="Y11" s="1062" t="e">
        <f ca="1"/>
        <v>#NAME?</v>
      </c>
      <c r="Z11" s="1110">
        <v>8</v>
      </c>
      <c r="AA11" s="1064">
        <v>143.9207567931999</v>
      </c>
      <c r="AB11" s="1049">
        <v>5.3608506522806465E-13</v>
      </c>
      <c r="AC11" s="1049">
        <v>647.35710547802432</v>
      </c>
      <c r="AD11" s="1049">
        <v>2.7700064464397656E-12</v>
      </c>
      <c r="AE11" s="1049">
        <v>3555.783063434505</v>
      </c>
      <c r="AF11" s="1049">
        <v>1.7147172570730618E-11</v>
      </c>
      <c r="AG11" s="1049">
        <v>23036.065229774846</v>
      </c>
      <c r="AH11" s="1049">
        <v>1.3173462320992257E-10</v>
      </c>
      <c r="AI11" s="1049">
        <v>171519.63870339916</v>
      </c>
      <c r="AJ11" s="1062">
        <v>1.0968506103381515E-9</v>
      </c>
      <c r="AM11"/>
      <c r="AN11"/>
      <c r="AO11" s="1052"/>
    </row>
    <row r="12" spans="1:42" ht="15" customHeight="1" x14ac:dyDescent="0.2">
      <c r="A12" s="1068">
        <v>10</v>
      </c>
      <c r="B12" s="1067">
        <f t="shared" si="11"/>
        <v>-2.0999999999999992</v>
      </c>
      <c r="C12" s="1052">
        <f t="shared" si="0"/>
        <v>-3.2727272727272712</v>
      </c>
      <c r="D12" s="1066">
        <v>0.52</v>
      </c>
      <c r="E12" s="1065" t="e">
        <f ca="1"/>
        <v>#NAME?</v>
      </c>
      <c r="F12" s="1064">
        <f t="shared" si="1"/>
        <v>4.7227127900757275E-3</v>
      </c>
      <c r="G12" s="1049">
        <f t="shared" si="2"/>
        <v>-1.5456150949338738E-2</v>
      </c>
      <c r="H12" s="1049">
        <f t="shared" si="3"/>
        <v>5.0583766743290383E-2</v>
      </c>
      <c r="I12" s="1049">
        <f t="shared" si="4"/>
        <v>-0.16554687297804119</v>
      </c>
      <c r="J12" s="1049">
        <f t="shared" si="5"/>
        <v>0.54178976610995266</v>
      </c>
      <c r="K12" s="1049">
        <f t="shared" si="6"/>
        <v>-1.7731301436325715</v>
      </c>
      <c r="L12" s="1049">
        <f t="shared" si="7"/>
        <v>5.8029713791611401</v>
      </c>
      <c r="M12" s="1049">
        <f t="shared" si="8"/>
        <v>-18.991542695436451</v>
      </c>
      <c r="N12" s="1049">
        <f t="shared" si="9"/>
        <v>62.154139730519262</v>
      </c>
      <c r="O12" s="1049">
        <f t="shared" si="10"/>
        <v>-203.41354820897203</v>
      </c>
      <c r="P12" s="1063" t="e">
        <f ca="1"/>
        <v>#NAME?</v>
      </c>
      <c r="Q12" s="1049" t="e">
        <f ca="1"/>
        <v>#NAME?</v>
      </c>
      <c r="R12" s="1049" t="e">
        <f ca="1"/>
        <v>#NAME?</v>
      </c>
      <c r="S12" s="1049" t="e">
        <f ca="1"/>
        <v>#NAME?</v>
      </c>
      <c r="T12" s="1049" t="e">
        <f ca="1"/>
        <v>#NAME?</v>
      </c>
      <c r="U12" s="1049" t="e">
        <f ca="1"/>
        <v>#NAME?</v>
      </c>
      <c r="V12" s="1049" t="e">
        <f ca="1"/>
        <v>#NAME?</v>
      </c>
      <c r="W12" s="1049" t="e">
        <f ca="1"/>
        <v>#NAME?</v>
      </c>
      <c r="X12" s="1049" t="e">
        <f ca="1"/>
        <v>#NAME?</v>
      </c>
      <c r="Y12" s="1062" t="e">
        <f ca="1"/>
        <v>#NAME?</v>
      </c>
      <c r="Z12" s="1109">
        <v>9</v>
      </c>
      <c r="AA12" s="1057">
        <v>5.647426970512015E-13</v>
      </c>
      <c r="AB12" s="1055">
        <v>647.35710547802432</v>
      </c>
      <c r="AC12" s="1055">
        <v>3.1191715876843773E-12</v>
      </c>
      <c r="AD12" s="1055">
        <v>3555.7830634345055</v>
      </c>
      <c r="AE12" s="1055">
        <v>1.8141932400794758E-11</v>
      </c>
      <c r="AF12" s="1055">
        <v>23036.065229774842</v>
      </c>
      <c r="AG12" s="1108">
        <v>1.3716316971112974E-10</v>
      </c>
      <c r="AH12" s="1108">
        <v>171519.63870339916</v>
      </c>
      <c r="AI12" s="1108">
        <v>1.0968506103381515E-9</v>
      </c>
      <c r="AJ12" s="749">
        <v>1437473.5953671024</v>
      </c>
      <c r="AM12"/>
      <c r="AN12"/>
      <c r="AO12" s="1052"/>
    </row>
    <row r="13" spans="1:42" ht="15" customHeight="1" x14ac:dyDescent="0.2">
      <c r="A13" s="1068">
        <v>11</v>
      </c>
      <c r="B13" s="1067">
        <f t="shared" si="11"/>
        <v>-1.9999999999999991</v>
      </c>
      <c r="C13" s="1052">
        <f t="shared" si="0"/>
        <v>-3.1919191919191907</v>
      </c>
      <c r="D13" s="1066">
        <v>0.64</v>
      </c>
      <c r="E13" s="1065" t="e">
        <f ca="1"/>
        <v>#NAME?</v>
      </c>
      <c r="F13" s="1064">
        <f t="shared" si="1"/>
        <v>6.1323694892821499E-3</v>
      </c>
      <c r="G13" s="1049">
        <f t="shared" si="2"/>
        <v>-1.9574027864779381E-2</v>
      </c>
      <c r="H13" s="1049">
        <f t="shared" si="3"/>
        <v>6.2478715204750325E-2</v>
      </c>
      <c r="I13" s="1049">
        <f t="shared" si="4"/>
        <v>-0.1994270101484959</v>
      </c>
      <c r="J13" s="1049">
        <f t="shared" si="5"/>
        <v>0.63655490108004742</v>
      </c>
      <c r="K13" s="1049">
        <f t="shared" si="6"/>
        <v>-2.031831805467625</v>
      </c>
      <c r="L13" s="1049">
        <f t="shared" si="7"/>
        <v>6.4854429346239337</v>
      </c>
      <c r="M13" s="1049">
        <f t="shared" si="8"/>
        <v>-20.701009771122848</v>
      </c>
      <c r="N13" s="1049">
        <f t="shared" si="9"/>
        <v>66.075950380553721</v>
      </c>
      <c r="O13" s="1049">
        <f t="shared" si="10"/>
        <v>-210.90909414398956</v>
      </c>
      <c r="P13" s="1063" t="e">
        <f ca="1"/>
        <v>#NAME?</v>
      </c>
      <c r="Q13" s="1049" t="e">
        <f ca="1"/>
        <v>#NAME?</v>
      </c>
      <c r="R13" s="1049" t="e">
        <f ca="1"/>
        <v>#NAME?</v>
      </c>
      <c r="S13" s="1049" t="e">
        <f ca="1"/>
        <v>#NAME?</v>
      </c>
      <c r="T13" s="1049" t="e">
        <f ca="1"/>
        <v>#NAME?</v>
      </c>
      <c r="U13" s="1049" t="e">
        <f ca="1"/>
        <v>#NAME?</v>
      </c>
      <c r="V13" s="1049" t="e">
        <f ca="1"/>
        <v>#NAME?</v>
      </c>
      <c r="W13" s="1049" t="e">
        <f ca="1"/>
        <v>#NAME?</v>
      </c>
      <c r="X13" s="1049" t="e">
        <f ca="1"/>
        <v>#NAME?</v>
      </c>
      <c r="Y13" s="1062" t="e">
        <f ca="1"/>
        <v>#NAME?</v>
      </c>
      <c r="Z13" s="1317" t="s">
        <v>497</v>
      </c>
      <c r="AA13" s="1326"/>
      <c r="AB13" s="1326"/>
      <c r="AC13" s="1326"/>
      <c r="AD13" s="1326"/>
      <c r="AE13" s="1326"/>
      <c r="AF13" s="1326"/>
      <c r="AG13" s="1326"/>
      <c r="AH13" s="1326"/>
      <c r="AI13" s="1326"/>
      <c r="AJ13" s="1327"/>
      <c r="AM13"/>
      <c r="AN13"/>
      <c r="AO13" s="1052"/>
    </row>
    <row r="14" spans="1:42" ht="15" customHeight="1" x14ac:dyDescent="0.2">
      <c r="A14" s="1068">
        <v>12</v>
      </c>
      <c r="B14" s="1067">
        <f t="shared" si="11"/>
        <v>-1.899999999999999</v>
      </c>
      <c r="C14" s="1052">
        <f t="shared" si="0"/>
        <v>-3.1111111111111098</v>
      </c>
      <c r="D14" s="1066">
        <v>0.84000000000000008</v>
      </c>
      <c r="E14" s="1065" t="e">
        <f ca="1"/>
        <v>#NAME?</v>
      </c>
      <c r="F14" s="1064">
        <f t="shared" si="1"/>
        <v>7.9109597339302815E-3</v>
      </c>
      <c r="G14" s="1049">
        <f t="shared" si="2"/>
        <v>-2.461187472778309E-2</v>
      </c>
      <c r="H14" s="1049">
        <f t="shared" si="3"/>
        <v>7.6570276930880685E-2</v>
      </c>
      <c r="I14" s="1049">
        <f t="shared" si="4"/>
        <v>-0.23821863934051757</v>
      </c>
      <c r="J14" s="1049">
        <f t="shared" si="5"/>
        <v>0.74112465572605435</v>
      </c>
      <c r="K14" s="1049">
        <f t="shared" si="6"/>
        <v>-2.3057211511477234</v>
      </c>
      <c r="L14" s="1049">
        <f t="shared" si="7"/>
        <v>7.173354692459581</v>
      </c>
      <c r="M14" s="1049">
        <f t="shared" si="8"/>
        <v>-22.317103487652023</v>
      </c>
      <c r="N14" s="1049">
        <f t="shared" si="9"/>
        <v>69.430988628250702</v>
      </c>
      <c r="O14" s="1049">
        <f t="shared" si="10"/>
        <v>-216.00752017677988</v>
      </c>
      <c r="P14" s="1063" t="e">
        <f ca="1"/>
        <v>#NAME?</v>
      </c>
      <c r="Q14" s="1049" t="e">
        <f ca="1"/>
        <v>#NAME?</v>
      </c>
      <c r="R14" s="1049" t="e">
        <f ca="1"/>
        <v>#NAME?</v>
      </c>
      <c r="S14" s="1049" t="e">
        <f ca="1"/>
        <v>#NAME?</v>
      </c>
      <c r="T14" s="1049" t="e">
        <f ca="1"/>
        <v>#NAME?</v>
      </c>
      <c r="U14" s="1049" t="e">
        <f ca="1"/>
        <v>#NAME?</v>
      </c>
      <c r="V14" s="1049" t="e">
        <f ca="1"/>
        <v>#NAME?</v>
      </c>
      <c r="W14" s="1049" t="e">
        <f ca="1"/>
        <v>#NAME?</v>
      </c>
      <c r="X14" s="1049" t="e">
        <f ca="1"/>
        <v>#NAME?</v>
      </c>
      <c r="Y14" s="1062" t="e">
        <f ca="1"/>
        <v>#NAME?</v>
      </c>
      <c r="Z14" s="1107">
        <v>0</v>
      </c>
      <c r="AA14" s="1080" t="e">
        <f t="array" aca="1" ref="AA14:AJ23" ca="1">TRANSPOSE(MINVERSE([5]!CHOL(AA3:AJ12)))</f>
        <v>#NAME?</v>
      </c>
      <c r="AB14" s="1080" t="e">
        <f ca="1"/>
        <v>#NAME?</v>
      </c>
      <c r="AC14" s="1080" t="e">
        <f ca="1"/>
        <v>#NAME?</v>
      </c>
      <c r="AD14" s="1080" t="e">
        <f ca="1"/>
        <v>#NAME?</v>
      </c>
      <c r="AE14" s="1080" t="e">
        <f ca="1"/>
        <v>#NAME?</v>
      </c>
      <c r="AF14" s="1080" t="e">
        <f ca="1"/>
        <v>#NAME?</v>
      </c>
      <c r="AG14" s="1080" t="e">
        <f ca="1"/>
        <v>#NAME?</v>
      </c>
      <c r="AH14" s="1080" t="e">
        <f ca="1"/>
        <v>#NAME?</v>
      </c>
      <c r="AI14" s="1080" t="e">
        <f ca="1"/>
        <v>#NAME?</v>
      </c>
      <c r="AJ14" s="1086" t="e">
        <f ca="1"/>
        <v>#NAME?</v>
      </c>
      <c r="AM14"/>
      <c r="AN14"/>
      <c r="AO14" s="1052"/>
    </row>
    <row r="15" spans="1:42" ht="15" customHeight="1" x14ac:dyDescent="0.2">
      <c r="A15" s="1068">
        <v>13</v>
      </c>
      <c r="B15" s="1067">
        <f t="shared" si="11"/>
        <v>-1.7999999999999989</v>
      </c>
      <c r="C15" s="1052">
        <f t="shared" si="0"/>
        <v>-3.0303030303030289</v>
      </c>
      <c r="D15" s="1066">
        <v>1.01</v>
      </c>
      <c r="E15" s="1065" t="e">
        <f ca="1"/>
        <v>#NAME?</v>
      </c>
      <c r="F15" s="1064">
        <f t="shared" si="1"/>
        <v>1.0138976449967588E-2</v>
      </c>
      <c r="G15" s="1049">
        <f t="shared" si="2"/>
        <v>-3.0724171060507829E-2</v>
      </c>
      <c r="H15" s="1049">
        <f t="shared" si="3"/>
        <v>9.3103548668205513E-2</v>
      </c>
      <c r="I15" s="1049">
        <f t="shared" si="4"/>
        <v>-0.28213196566122867</v>
      </c>
      <c r="J15" s="1049">
        <f t="shared" si="5"/>
        <v>0.85494535048857145</v>
      </c>
      <c r="K15" s="1049">
        <f t="shared" si="6"/>
        <v>-2.5907434863290035</v>
      </c>
      <c r="L15" s="1049">
        <f t="shared" si="7"/>
        <v>7.8507378373606134</v>
      </c>
      <c r="M15" s="1049">
        <f t="shared" si="8"/>
        <v>-23.790114658668511</v>
      </c>
      <c r="N15" s="1049">
        <f t="shared" si="9"/>
        <v>72.09125654141971</v>
      </c>
      <c r="O15" s="1049">
        <f t="shared" si="10"/>
        <v>-218.45835315581721</v>
      </c>
      <c r="P15" s="1063" t="e">
        <f ca="1"/>
        <v>#NAME?</v>
      </c>
      <c r="Q15" s="1049" t="e">
        <f ca="1"/>
        <v>#NAME?</v>
      </c>
      <c r="R15" s="1049" t="e">
        <f ca="1"/>
        <v>#NAME?</v>
      </c>
      <c r="S15" s="1049" t="e">
        <f ca="1"/>
        <v>#NAME?</v>
      </c>
      <c r="T15" s="1049" t="e">
        <f ca="1"/>
        <v>#NAME?</v>
      </c>
      <c r="U15" s="1049" t="e">
        <f ca="1"/>
        <v>#NAME?</v>
      </c>
      <c r="V15" s="1049" t="e">
        <f ca="1"/>
        <v>#NAME?</v>
      </c>
      <c r="W15" s="1049" t="e">
        <f ca="1"/>
        <v>#NAME?</v>
      </c>
      <c r="X15" s="1049" t="e">
        <f ca="1"/>
        <v>#NAME?</v>
      </c>
      <c r="Y15" s="1062" t="e">
        <f ca="1"/>
        <v>#NAME?</v>
      </c>
      <c r="Z15" s="1068">
        <v>1</v>
      </c>
      <c r="AA15" s="1049" t="e">
        <f ca="1"/>
        <v>#NAME?</v>
      </c>
      <c r="AB15" s="1049" t="e">
        <f ca="1"/>
        <v>#NAME?</v>
      </c>
      <c r="AC15" s="1049" t="e">
        <f ca="1"/>
        <v>#NAME?</v>
      </c>
      <c r="AD15" s="1049" t="e">
        <f ca="1"/>
        <v>#NAME?</v>
      </c>
      <c r="AE15" s="1049" t="e">
        <f ca="1"/>
        <v>#NAME?</v>
      </c>
      <c r="AF15" s="1049" t="e">
        <f ca="1"/>
        <v>#NAME?</v>
      </c>
      <c r="AG15" s="1049" t="e">
        <f ca="1"/>
        <v>#NAME?</v>
      </c>
      <c r="AH15" s="1049" t="e">
        <f ca="1"/>
        <v>#NAME?</v>
      </c>
      <c r="AI15" s="1049" t="e">
        <f ca="1"/>
        <v>#NAME?</v>
      </c>
      <c r="AJ15" s="1062" t="e">
        <f ca="1"/>
        <v>#NAME?</v>
      </c>
      <c r="AM15" s="1081"/>
      <c r="AO15" s="1052"/>
    </row>
    <row r="16" spans="1:42" ht="15" customHeight="1" x14ac:dyDescent="0.2">
      <c r="A16" s="1068">
        <v>14</v>
      </c>
      <c r="B16" s="1067">
        <f t="shared" si="11"/>
        <v>-1.6999999999999988</v>
      </c>
      <c r="C16" s="1052">
        <f t="shared" si="0"/>
        <v>-2.9494949494949481</v>
      </c>
      <c r="D16" s="1066">
        <v>0.79</v>
      </c>
      <c r="E16" s="1065" t="e">
        <f ca="1"/>
        <v>#NAME?</v>
      </c>
      <c r="F16" s="1064">
        <f t="shared" si="1"/>
        <v>1.2909907636709888E-2</v>
      </c>
      <c r="G16" s="1049">
        <f t="shared" si="2"/>
        <v>-3.8077707372922077E-2</v>
      </c>
      <c r="H16" s="1049">
        <f t="shared" si="3"/>
        <v>0.1123100055847802</v>
      </c>
      <c r="I16" s="1049">
        <f t="shared" si="4"/>
        <v>-0.33125779425005858</v>
      </c>
      <c r="J16" s="1049">
        <f t="shared" si="5"/>
        <v>0.97704319112138449</v>
      </c>
      <c r="K16" s="1049">
        <f t="shared" si="6"/>
        <v>-2.881783957650951</v>
      </c>
      <c r="L16" s="1049">
        <f t="shared" si="7"/>
        <v>8.4998072286270432</v>
      </c>
      <c r="M16" s="1049">
        <f t="shared" si="8"/>
        <v>-25.070138492516111</v>
      </c>
      <c r="N16" s="1049">
        <f t="shared" si="9"/>
        <v>73.944246866815163</v>
      </c>
      <c r="O16" s="1049">
        <f t="shared" si="10"/>
        <v>-218.09818267787898</v>
      </c>
      <c r="P16" s="1063" t="e">
        <f ca="1"/>
        <v>#NAME?</v>
      </c>
      <c r="Q16" s="1049" t="e">
        <f ca="1"/>
        <v>#NAME?</v>
      </c>
      <c r="R16" s="1049" t="e">
        <f ca="1"/>
        <v>#NAME?</v>
      </c>
      <c r="S16" s="1049" t="e">
        <f ca="1"/>
        <v>#NAME?</v>
      </c>
      <c r="T16" s="1049" t="e">
        <f ca="1"/>
        <v>#NAME?</v>
      </c>
      <c r="U16" s="1049" t="e">
        <f ca="1"/>
        <v>#NAME?</v>
      </c>
      <c r="V16" s="1049" t="e">
        <f ca="1"/>
        <v>#NAME?</v>
      </c>
      <c r="W16" s="1049" t="e">
        <f ca="1"/>
        <v>#NAME?</v>
      </c>
      <c r="X16" s="1049" t="e">
        <f ca="1"/>
        <v>#NAME?</v>
      </c>
      <c r="Y16" s="1062" t="e">
        <f ca="1"/>
        <v>#NAME?</v>
      </c>
      <c r="Z16" s="1068">
        <v>2</v>
      </c>
      <c r="AA16" s="1049" t="e">
        <f ca="1"/>
        <v>#NAME?</v>
      </c>
      <c r="AB16" s="1050" t="e">
        <f ca="1"/>
        <v>#NAME?</v>
      </c>
      <c r="AC16" s="1049" t="e">
        <f ca="1"/>
        <v>#NAME?</v>
      </c>
      <c r="AD16" s="1049" t="e">
        <f ca="1"/>
        <v>#NAME?</v>
      </c>
      <c r="AE16" s="1049" t="e">
        <f ca="1"/>
        <v>#NAME?</v>
      </c>
      <c r="AF16" s="1049" t="e">
        <f ca="1"/>
        <v>#NAME?</v>
      </c>
      <c r="AG16" s="1049" t="e">
        <f ca="1"/>
        <v>#NAME?</v>
      </c>
      <c r="AH16" s="1049" t="e">
        <f ca="1"/>
        <v>#NAME?</v>
      </c>
      <c r="AI16" s="1049" t="e">
        <f ca="1"/>
        <v>#NAME?</v>
      </c>
      <c r="AJ16" s="1062" t="e">
        <f ca="1"/>
        <v>#NAME?</v>
      </c>
      <c r="AK16" s="1085"/>
      <c r="AL16" s="1085"/>
      <c r="AO16" s="1052"/>
      <c r="AP16" s="1085"/>
    </row>
    <row r="17" spans="1:41" ht="15" customHeight="1" x14ac:dyDescent="0.2">
      <c r="A17" s="1068">
        <v>15</v>
      </c>
      <c r="B17" s="1067">
        <f t="shared" si="11"/>
        <v>-1.5999999999999988</v>
      </c>
      <c r="C17" s="1052">
        <f t="shared" si="0"/>
        <v>-2.8686868686868667</v>
      </c>
      <c r="D17" s="1066">
        <v>1.53</v>
      </c>
      <c r="E17" s="1065" t="e">
        <f ca="1"/>
        <v>#NAME?</v>
      </c>
      <c r="F17" s="1064">
        <f t="shared" si="1"/>
        <v>1.6331130021395766E-2</v>
      </c>
      <c r="G17" s="1049">
        <f t="shared" si="2"/>
        <v>-4.6848898243195901E-2</v>
      </c>
      <c r="H17" s="1049">
        <f t="shared" si="3"/>
        <v>0.1343948192027033</v>
      </c>
      <c r="I17" s="1049">
        <f t="shared" si="4"/>
        <v>-0.38553665306634055</v>
      </c>
      <c r="J17" s="1049">
        <f t="shared" si="5"/>
        <v>1.1059839340488955</v>
      </c>
      <c r="K17" s="1049">
        <f t="shared" si="6"/>
        <v>-3.1727215885847082</v>
      </c>
      <c r="L17" s="1049">
        <f t="shared" si="7"/>
        <v>9.1015447591722882</v>
      </c>
      <c r="M17" s="1049">
        <f t="shared" si="8"/>
        <v>-26.109481935403309</v>
      </c>
      <c r="N17" s="1049">
        <f t="shared" si="9"/>
        <v>74.899927976308433</v>
      </c>
      <c r="O17" s="1049">
        <f t="shared" si="10"/>
        <v>-214.8644398512281</v>
      </c>
      <c r="P17" s="1063" t="e">
        <f ca="1"/>
        <v>#NAME?</v>
      </c>
      <c r="Q17" s="1049" t="e">
        <f ca="1"/>
        <v>#NAME?</v>
      </c>
      <c r="R17" s="1049" t="e">
        <f ca="1"/>
        <v>#NAME?</v>
      </c>
      <c r="S17" s="1049" t="e">
        <f ca="1"/>
        <v>#NAME?</v>
      </c>
      <c r="T17" s="1049" t="e">
        <f ca="1"/>
        <v>#NAME?</v>
      </c>
      <c r="U17" s="1049" t="e">
        <f ca="1"/>
        <v>#NAME?</v>
      </c>
      <c r="V17" s="1049" t="e">
        <f ca="1"/>
        <v>#NAME?</v>
      </c>
      <c r="W17" s="1049" t="e">
        <f ca="1"/>
        <v>#NAME?</v>
      </c>
      <c r="X17" s="1049" t="e">
        <f ca="1"/>
        <v>#NAME?</v>
      </c>
      <c r="Y17" s="1062" t="e">
        <f ca="1"/>
        <v>#NAME?</v>
      </c>
      <c r="Z17" s="1068">
        <v>3</v>
      </c>
      <c r="AA17" s="1049" t="e">
        <f ca="1"/>
        <v>#NAME?</v>
      </c>
      <c r="AB17" s="1050" t="e">
        <f ca="1"/>
        <v>#NAME?</v>
      </c>
      <c r="AC17" s="1049" t="e">
        <f ca="1"/>
        <v>#NAME?</v>
      </c>
      <c r="AD17" s="1049" t="e">
        <f ca="1"/>
        <v>#NAME?</v>
      </c>
      <c r="AE17" s="1049" t="e">
        <f ca="1"/>
        <v>#NAME?</v>
      </c>
      <c r="AF17" s="1049" t="e">
        <f ca="1"/>
        <v>#NAME?</v>
      </c>
      <c r="AG17" s="1049" t="e">
        <f ca="1"/>
        <v>#NAME?</v>
      </c>
      <c r="AH17" s="1049" t="e">
        <f ca="1"/>
        <v>#NAME?</v>
      </c>
      <c r="AI17" s="1049" t="e">
        <f ca="1"/>
        <v>#NAME?</v>
      </c>
      <c r="AJ17" s="1062" t="e">
        <f ca="1"/>
        <v>#NAME?</v>
      </c>
      <c r="AO17" s="1052"/>
    </row>
    <row r="18" spans="1:41" ht="15" customHeight="1" x14ac:dyDescent="0.2">
      <c r="A18" s="1068">
        <v>16</v>
      </c>
      <c r="B18" s="1067">
        <f t="shared" si="11"/>
        <v>-1.4999999999999987</v>
      </c>
      <c r="C18" s="1052">
        <f t="shared" si="0"/>
        <v>-2.7878787878787858</v>
      </c>
      <c r="D18" s="1066">
        <v>1.47</v>
      </c>
      <c r="E18" s="1065" t="e">
        <f ca="1"/>
        <v>#NAME?</v>
      </c>
      <c r="F18" s="1064">
        <f t="shared" si="1"/>
        <v>2.0524539335735673E-2</v>
      </c>
      <c r="G18" s="1049">
        <f t="shared" si="2"/>
        <v>-5.7219927845081231E-2</v>
      </c>
      <c r="H18" s="1049">
        <f t="shared" si="3"/>
        <v>0.15952222308325664</v>
      </c>
      <c r="I18" s="1049">
        <f t="shared" si="4"/>
        <v>-0.4447286219290788</v>
      </c>
      <c r="J18" s="1049">
        <f t="shared" si="5"/>
        <v>1.2398494914386431</v>
      </c>
      <c r="K18" s="1049">
        <f t="shared" si="6"/>
        <v>-3.4565500973440932</v>
      </c>
      <c r="L18" s="1049">
        <f t="shared" si="7"/>
        <v>9.6364426956259486</v>
      </c>
      <c r="M18" s="1049">
        <f t="shared" si="8"/>
        <v>-26.865234181745052</v>
      </c>
      <c r="N18" s="1049">
        <f t="shared" si="9"/>
        <v>74.897016506683116</v>
      </c>
      <c r="O18" s="1049">
        <f t="shared" si="10"/>
        <v>-208.80380359438917</v>
      </c>
      <c r="P18" s="1063" t="e">
        <f ca="1"/>
        <v>#NAME?</v>
      </c>
      <c r="Q18" s="1049" t="e">
        <f ca="1"/>
        <v>#NAME?</v>
      </c>
      <c r="R18" s="1049" t="e">
        <f ca="1"/>
        <v>#NAME?</v>
      </c>
      <c r="S18" s="1049" t="e">
        <f ca="1"/>
        <v>#NAME?</v>
      </c>
      <c r="T18" s="1049" t="e">
        <f ca="1"/>
        <v>#NAME?</v>
      </c>
      <c r="U18" s="1049" t="e">
        <f ca="1"/>
        <v>#NAME?</v>
      </c>
      <c r="V18" s="1049" t="e">
        <f ca="1"/>
        <v>#NAME?</v>
      </c>
      <c r="W18" s="1049" t="e">
        <f ca="1"/>
        <v>#NAME?</v>
      </c>
      <c r="X18" s="1049" t="e">
        <f ca="1"/>
        <v>#NAME?</v>
      </c>
      <c r="Y18" s="1062" t="e">
        <f ca="1"/>
        <v>#NAME?</v>
      </c>
      <c r="Z18" s="1068">
        <v>4</v>
      </c>
      <c r="AA18" s="1049" t="e">
        <f ca="1"/>
        <v>#NAME?</v>
      </c>
      <c r="AB18" s="1050" t="e">
        <f ca="1"/>
        <v>#NAME?</v>
      </c>
      <c r="AC18" s="1049" t="e">
        <f ca="1"/>
        <v>#NAME?</v>
      </c>
      <c r="AD18" s="1049" t="e">
        <f ca="1"/>
        <v>#NAME?</v>
      </c>
      <c r="AE18" s="1049" t="e">
        <f ca="1"/>
        <v>#NAME?</v>
      </c>
      <c r="AF18" s="1049" t="e">
        <f ca="1"/>
        <v>#NAME?</v>
      </c>
      <c r="AG18" s="1049" t="e">
        <f ca="1"/>
        <v>#NAME?</v>
      </c>
      <c r="AH18" s="1049" t="e">
        <f ca="1"/>
        <v>#NAME?</v>
      </c>
      <c r="AI18" s="1049" t="e">
        <f ca="1"/>
        <v>#NAME?</v>
      </c>
      <c r="AJ18" s="1062" t="e">
        <f ca="1"/>
        <v>#NAME?</v>
      </c>
      <c r="AO18" s="1052"/>
    </row>
    <row r="19" spans="1:41" ht="15" customHeight="1" x14ac:dyDescent="0.2">
      <c r="A19" s="1068">
        <v>17</v>
      </c>
      <c r="B19" s="1067">
        <f t="shared" si="11"/>
        <v>-1.3999999999999986</v>
      </c>
      <c r="C19" s="1052">
        <f t="shared" si="0"/>
        <v>-2.707070707070705</v>
      </c>
      <c r="D19" s="1066">
        <v>2.2399999999999998</v>
      </c>
      <c r="E19" s="1065" t="e">
        <f ca="1"/>
        <v>#NAME?</v>
      </c>
      <c r="F19" s="1064">
        <f t="shared" si="1"/>
        <v>2.5626817773421282E-2</v>
      </c>
      <c r="G19" s="1049">
        <f t="shared" si="2"/>
        <v>-6.9373607709867655E-2</v>
      </c>
      <c r="H19" s="1049">
        <f t="shared" si="3"/>
        <v>0.18779926127519714</v>
      </c>
      <c r="I19" s="1049">
        <f t="shared" si="4"/>
        <v>-0.50838587900760401</v>
      </c>
      <c r="J19" s="1049">
        <f t="shared" si="5"/>
        <v>1.3762365209498764</v>
      </c>
      <c r="K19" s="1049">
        <f t="shared" si="6"/>
        <v>-3.7255695718643089</v>
      </c>
      <c r="L19" s="1049">
        <f t="shared" si="7"/>
        <v>10.085380255147818</v>
      </c>
      <c r="M19" s="1049">
        <f t="shared" si="8"/>
        <v>-27.301837458379936</v>
      </c>
      <c r="N19" s="1049">
        <f t="shared" si="9"/>
        <v>73.908004432786015</v>
      </c>
      <c r="O19" s="1049">
        <f t="shared" si="10"/>
        <v>-200.07419381804684</v>
      </c>
      <c r="P19" s="1063" t="e">
        <f ca="1"/>
        <v>#NAME?</v>
      </c>
      <c r="Q19" s="1049" t="e">
        <f ca="1"/>
        <v>#NAME?</v>
      </c>
      <c r="R19" s="1049" t="e">
        <f ca="1"/>
        <v>#NAME?</v>
      </c>
      <c r="S19" s="1049" t="e">
        <f ca="1"/>
        <v>#NAME?</v>
      </c>
      <c r="T19" s="1049" t="e">
        <f ca="1"/>
        <v>#NAME?</v>
      </c>
      <c r="U19" s="1049" t="e">
        <f ca="1"/>
        <v>#NAME?</v>
      </c>
      <c r="V19" s="1049" t="e">
        <f ca="1"/>
        <v>#NAME?</v>
      </c>
      <c r="W19" s="1049" t="e">
        <f ca="1"/>
        <v>#NAME?</v>
      </c>
      <c r="X19" s="1049" t="e">
        <f ca="1"/>
        <v>#NAME?</v>
      </c>
      <c r="Y19" s="1062" t="e">
        <f ca="1"/>
        <v>#NAME?</v>
      </c>
      <c r="Z19" s="1068">
        <v>5</v>
      </c>
      <c r="AA19" s="1049" t="e">
        <f ca="1"/>
        <v>#NAME?</v>
      </c>
      <c r="AB19" s="1050" t="e">
        <f ca="1"/>
        <v>#NAME?</v>
      </c>
      <c r="AC19" s="1049" t="e">
        <f ca="1"/>
        <v>#NAME?</v>
      </c>
      <c r="AD19" s="1049" t="e">
        <f ca="1"/>
        <v>#NAME?</v>
      </c>
      <c r="AE19" s="1049" t="e">
        <f ca="1"/>
        <v>#NAME?</v>
      </c>
      <c r="AF19" s="1049" t="e">
        <f ca="1"/>
        <v>#NAME?</v>
      </c>
      <c r="AG19" s="1049" t="e">
        <f ca="1"/>
        <v>#NAME?</v>
      </c>
      <c r="AH19" s="1049" t="e">
        <f ca="1"/>
        <v>#NAME?</v>
      </c>
      <c r="AI19" s="1049" t="e">
        <f ca="1"/>
        <v>#NAME?</v>
      </c>
      <c r="AJ19" s="1062" t="e">
        <f ca="1"/>
        <v>#NAME?</v>
      </c>
      <c r="AO19" s="1052"/>
    </row>
    <row r="20" spans="1:41" ht="15" customHeight="1" x14ac:dyDescent="0.2">
      <c r="A20" s="1068">
        <v>18</v>
      </c>
      <c r="B20" s="1067">
        <f t="shared" si="11"/>
        <v>-1.2999999999999985</v>
      </c>
      <c r="C20" s="1052">
        <f t="shared" si="0"/>
        <v>-2.6262626262626241</v>
      </c>
      <c r="D20" s="1066">
        <v>2.5300000000000002</v>
      </c>
      <c r="E20" s="1065" t="e">
        <f ca="1"/>
        <v>#NAME?</v>
      </c>
      <c r="F20" s="1064">
        <f t="shared" si="1"/>
        <v>3.1789231104807025E-2</v>
      </c>
      <c r="G20" s="1049">
        <f t="shared" si="2"/>
        <v>-8.3486869568179994E-2</v>
      </c>
      <c r="H20" s="1049">
        <f t="shared" si="3"/>
        <v>0.21925844533057354</v>
      </c>
      <c r="I20" s="1049">
        <f t="shared" si="4"/>
        <v>-0.5758302604641321</v>
      </c>
      <c r="J20" s="1049">
        <f t="shared" si="5"/>
        <v>1.5122814921280223</v>
      </c>
      <c r="K20" s="1049">
        <f t="shared" si="6"/>
        <v>-3.9716483631644999</v>
      </c>
      <c r="L20" s="1049">
        <f t="shared" si="7"/>
        <v>10.430591660836052</v>
      </c>
      <c r="M20" s="1049">
        <f t="shared" si="8"/>
        <v>-27.393473048660315</v>
      </c>
      <c r="N20" s="1049">
        <f t="shared" si="9"/>
        <v>71.942454471229055</v>
      </c>
      <c r="O20" s="1049">
        <f t="shared" si="10"/>
        <v>-188.93977941938925</v>
      </c>
      <c r="P20" s="1063" t="e">
        <f ca="1"/>
        <v>#NAME?</v>
      </c>
      <c r="Q20" s="1049" t="e">
        <f ca="1"/>
        <v>#NAME?</v>
      </c>
      <c r="R20" s="1049" t="e">
        <f ca="1"/>
        <v>#NAME?</v>
      </c>
      <c r="S20" s="1049" t="e">
        <f ca="1"/>
        <v>#NAME?</v>
      </c>
      <c r="T20" s="1049" t="e">
        <f ca="1"/>
        <v>#NAME?</v>
      </c>
      <c r="U20" s="1049" t="e">
        <f ca="1"/>
        <v>#NAME?</v>
      </c>
      <c r="V20" s="1049" t="e">
        <f ca="1"/>
        <v>#NAME?</v>
      </c>
      <c r="W20" s="1049" t="e">
        <f ca="1"/>
        <v>#NAME?</v>
      </c>
      <c r="X20" s="1049" t="e">
        <f ca="1"/>
        <v>#NAME?</v>
      </c>
      <c r="Y20" s="1062" t="e">
        <f ca="1"/>
        <v>#NAME?</v>
      </c>
      <c r="Z20" s="1068">
        <v>6</v>
      </c>
      <c r="AA20" s="1049" t="e">
        <f ca="1"/>
        <v>#NAME?</v>
      </c>
      <c r="AB20" s="1050" t="e">
        <f ca="1"/>
        <v>#NAME?</v>
      </c>
      <c r="AC20" s="1049" t="e">
        <f ca="1"/>
        <v>#NAME?</v>
      </c>
      <c r="AD20" s="1049" t="e">
        <f ca="1"/>
        <v>#NAME?</v>
      </c>
      <c r="AE20" s="1049" t="e">
        <f ca="1"/>
        <v>#NAME?</v>
      </c>
      <c r="AF20" s="1049" t="e">
        <f ca="1"/>
        <v>#NAME?</v>
      </c>
      <c r="AG20" s="1049" t="e">
        <f ca="1"/>
        <v>#NAME?</v>
      </c>
      <c r="AH20" s="1049" t="e">
        <f ca="1"/>
        <v>#NAME?</v>
      </c>
      <c r="AI20" s="1049" t="e">
        <f ca="1"/>
        <v>#NAME?</v>
      </c>
      <c r="AJ20" s="1062" t="e">
        <f ca="1"/>
        <v>#NAME?</v>
      </c>
      <c r="AO20" s="1052"/>
    </row>
    <row r="21" spans="1:41" ht="15" customHeight="1" x14ac:dyDescent="0.2">
      <c r="A21" s="1068">
        <v>19</v>
      </c>
      <c r="B21" s="1067">
        <f t="shared" si="11"/>
        <v>-1.1999999999999984</v>
      </c>
      <c r="C21" s="1052">
        <f t="shared" si="0"/>
        <v>-2.5454545454545432</v>
      </c>
      <c r="D21" s="1066">
        <v>3.5</v>
      </c>
      <c r="E21" s="1065" t="e">
        <f ca="1"/>
        <v>#NAME?</v>
      </c>
      <c r="F21" s="1064">
        <f t="shared" si="1"/>
        <v>3.9176843981362001E-2</v>
      </c>
      <c r="G21" s="1049">
        <f t="shared" si="2"/>
        <v>-9.9722875588921372E-2</v>
      </c>
      <c r="H21" s="1049">
        <f t="shared" si="3"/>
        <v>0.25384004695361778</v>
      </c>
      <c r="I21" s="1049">
        <f t="shared" si="4"/>
        <v>-0.64613830133648109</v>
      </c>
      <c r="J21" s="1049">
        <f t="shared" si="5"/>
        <v>1.6447156761292232</v>
      </c>
      <c r="K21" s="1049">
        <f t="shared" si="6"/>
        <v>-4.1865489937834734</v>
      </c>
      <c r="L21" s="1049">
        <f t="shared" si="7"/>
        <v>10.656670165994285</v>
      </c>
      <c r="M21" s="1049">
        <f t="shared" si="8"/>
        <v>-27.126069513439976</v>
      </c>
      <c r="N21" s="1049">
        <f t="shared" si="9"/>
        <v>69.048176943301698</v>
      </c>
      <c r="O21" s="1049">
        <f t="shared" si="10"/>
        <v>-175.75899585567689</v>
      </c>
      <c r="P21" s="1063" t="e">
        <f ca="1"/>
        <v>#NAME?</v>
      </c>
      <c r="Q21" s="1049" t="e">
        <f ca="1"/>
        <v>#NAME?</v>
      </c>
      <c r="R21" s="1049" t="e">
        <f ca="1"/>
        <v>#NAME?</v>
      </c>
      <c r="S21" s="1049" t="e">
        <f ca="1"/>
        <v>#NAME?</v>
      </c>
      <c r="T21" s="1049" t="e">
        <f ca="1"/>
        <v>#NAME?</v>
      </c>
      <c r="U21" s="1049" t="e">
        <f ca="1"/>
        <v>#NAME?</v>
      </c>
      <c r="V21" s="1049" t="e">
        <f ca="1"/>
        <v>#NAME?</v>
      </c>
      <c r="W21" s="1049" t="e">
        <f ca="1"/>
        <v>#NAME?</v>
      </c>
      <c r="X21" s="1049" t="e">
        <f ca="1"/>
        <v>#NAME?</v>
      </c>
      <c r="Y21" s="1062" t="e">
        <f ca="1"/>
        <v>#NAME?</v>
      </c>
      <c r="Z21" s="1068">
        <v>7</v>
      </c>
      <c r="AA21" s="1049" t="e">
        <f ca="1"/>
        <v>#NAME?</v>
      </c>
      <c r="AB21" s="1050" t="e">
        <f ca="1"/>
        <v>#NAME?</v>
      </c>
      <c r="AC21" s="1049" t="e">
        <f ca="1"/>
        <v>#NAME?</v>
      </c>
      <c r="AD21" s="1049" t="e">
        <f ca="1"/>
        <v>#NAME?</v>
      </c>
      <c r="AE21" s="1049" t="e">
        <f ca="1"/>
        <v>#NAME?</v>
      </c>
      <c r="AF21" s="1049" t="e">
        <f ca="1"/>
        <v>#NAME?</v>
      </c>
      <c r="AG21" s="1049" t="e">
        <f ca="1"/>
        <v>#NAME?</v>
      </c>
      <c r="AH21" s="1049" t="e">
        <f ca="1"/>
        <v>#NAME?</v>
      </c>
      <c r="AI21" s="1049" t="e">
        <f ca="1"/>
        <v>#NAME?</v>
      </c>
      <c r="AJ21" s="1062" t="e">
        <f ca="1"/>
        <v>#NAME?</v>
      </c>
      <c r="AO21" s="1052"/>
    </row>
    <row r="22" spans="1:41" ht="15" customHeight="1" x14ac:dyDescent="0.2">
      <c r="A22" s="1068">
        <v>20</v>
      </c>
      <c r="B22" s="1067">
        <f t="shared" si="11"/>
        <v>-1.0999999999999983</v>
      </c>
      <c r="C22" s="1052">
        <f t="shared" si="0"/>
        <v>-2.4646464646464623</v>
      </c>
      <c r="D22" s="1066">
        <v>3.9899999999999998</v>
      </c>
      <c r="E22" s="1065" t="e">
        <f ca="1"/>
        <v>#NAME?</v>
      </c>
      <c r="F22" s="1064">
        <f t="shared" si="1"/>
        <v>4.7967043489952191E-2</v>
      </c>
      <c r="G22" s="1049">
        <f t="shared" si="2"/>
        <v>-0.11822180415705377</v>
      </c>
      <c r="H22" s="1049">
        <f t="shared" si="3"/>
        <v>0.29137495165980903</v>
      </c>
      <c r="I22" s="1049">
        <f t="shared" si="4"/>
        <v>-0.71813624449488223</v>
      </c>
      <c r="J22" s="1049">
        <f t="shared" si="5"/>
        <v>1.7699519561287991</v>
      </c>
      <c r="K22" s="1049">
        <f t="shared" si="6"/>
        <v>-4.3623058312669345</v>
      </c>
      <c r="L22" s="1049">
        <f t="shared" si="7"/>
        <v>10.751541644738698</v>
      </c>
      <c r="M22" s="1049">
        <f t="shared" si="8"/>
        <v>-26.498749104204446</v>
      </c>
      <c r="N22" s="1049">
        <f t="shared" si="9"/>
        <v>65.310048297231106</v>
      </c>
      <c r="O22" s="1049">
        <f t="shared" si="10"/>
        <v>-160.96617964166035</v>
      </c>
      <c r="P22" s="1063" t="e">
        <f ca="1"/>
        <v>#NAME?</v>
      </c>
      <c r="Q22" s="1049" t="e">
        <f ca="1"/>
        <v>#NAME?</v>
      </c>
      <c r="R22" s="1049" t="e">
        <f ca="1"/>
        <v>#NAME?</v>
      </c>
      <c r="S22" s="1049" t="e">
        <f ca="1"/>
        <v>#NAME?</v>
      </c>
      <c r="T22" s="1049" t="e">
        <f ca="1"/>
        <v>#NAME?</v>
      </c>
      <c r="U22" s="1049" t="e">
        <f ca="1"/>
        <v>#NAME?</v>
      </c>
      <c r="V22" s="1049" t="e">
        <f ca="1"/>
        <v>#NAME?</v>
      </c>
      <c r="W22" s="1049" t="e">
        <f ca="1"/>
        <v>#NAME?</v>
      </c>
      <c r="X22" s="1049" t="e">
        <f ca="1"/>
        <v>#NAME?</v>
      </c>
      <c r="Y22" s="1062" t="e">
        <f ca="1"/>
        <v>#NAME?</v>
      </c>
      <c r="Z22" s="1068">
        <v>8</v>
      </c>
      <c r="AA22" s="1049" t="e">
        <f ca="1"/>
        <v>#NAME?</v>
      </c>
      <c r="AB22" s="1050" t="e">
        <f ca="1"/>
        <v>#NAME?</v>
      </c>
      <c r="AC22" s="1049" t="e">
        <f ca="1"/>
        <v>#NAME?</v>
      </c>
      <c r="AD22" s="1049" t="e">
        <f ca="1"/>
        <v>#NAME?</v>
      </c>
      <c r="AE22" s="1049" t="e">
        <f ca="1"/>
        <v>#NAME?</v>
      </c>
      <c r="AF22" s="1049" t="e">
        <f ca="1"/>
        <v>#NAME?</v>
      </c>
      <c r="AG22" s="1081" t="e">
        <f ca="1"/>
        <v>#NAME?</v>
      </c>
      <c r="AH22" s="1081" t="e">
        <f ca="1"/>
        <v>#NAME?</v>
      </c>
      <c r="AI22" s="1081" t="e">
        <f ca="1"/>
        <v>#NAME?</v>
      </c>
      <c r="AJ22" s="1104" t="e">
        <f ca="1"/>
        <v>#NAME?</v>
      </c>
      <c r="AO22" s="1052"/>
    </row>
    <row r="23" spans="1:41" ht="15" customHeight="1" x14ac:dyDescent="0.2">
      <c r="A23" s="1068">
        <v>21</v>
      </c>
      <c r="B23" s="1067">
        <f t="shared" si="11"/>
        <v>-0.99999999999999833</v>
      </c>
      <c r="C23" s="1052">
        <f t="shared" si="0"/>
        <v>-2.3838383838383814</v>
      </c>
      <c r="D23" s="1066">
        <v>5.05</v>
      </c>
      <c r="E23" s="1065" t="e">
        <f ca="1"/>
        <v>#NAME?</v>
      </c>
      <c r="F23" s="1064">
        <f t="shared" si="1"/>
        <v>5.8347269290841358E-2</v>
      </c>
      <c r="G23" s="1049">
        <f t="shared" si="2"/>
        <v>-0.13909046012766207</v>
      </c>
      <c r="H23" s="1049">
        <f t="shared" si="3"/>
        <v>0.33156917767806282</v>
      </c>
      <c r="I23" s="1049">
        <f t="shared" si="4"/>
        <v>-0.79040733264669427</v>
      </c>
      <c r="J23" s="1049">
        <f t="shared" si="5"/>
        <v>1.8842033384305017</v>
      </c>
      <c r="K23" s="1049">
        <f t="shared" si="6"/>
        <v>-4.4916362411070505</v>
      </c>
      <c r="L23" s="1049">
        <f t="shared" si="7"/>
        <v>10.707334877790531</v>
      </c>
      <c r="M23" s="1049">
        <f t="shared" si="8"/>
        <v>-25.524555870288513</v>
      </c>
      <c r="N23" s="1049">
        <f t="shared" si="9"/>
        <v>60.846416014021038</v>
      </c>
      <c r="O23" s="1049">
        <f t="shared" si="10"/>
        <v>-145.04802201322173</v>
      </c>
      <c r="P23" s="1063" t="e">
        <f ca="1"/>
        <v>#NAME?</v>
      </c>
      <c r="Q23" s="1049" t="e">
        <f ca="1"/>
        <v>#NAME?</v>
      </c>
      <c r="R23" s="1049" t="e">
        <f ca="1"/>
        <v>#NAME?</v>
      </c>
      <c r="S23" s="1049" t="e">
        <f ca="1"/>
        <v>#NAME?</v>
      </c>
      <c r="T23" s="1049" t="e">
        <f ca="1"/>
        <v>#NAME?</v>
      </c>
      <c r="U23" s="1049" t="e">
        <f ca="1"/>
        <v>#NAME?</v>
      </c>
      <c r="V23" s="1049" t="e">
        <f ca="1"/>
        <v>#NAME?</v>
      </c>
      <c r="W23" s="1049" t="e">
        <f ca="1"/>
        <v>#NAME?</v>
      </c>
      <c r="X23" s="1049" t="e">
        <f ca="1"/>
        <v>#NAME?</v>
      </c>
      <c r="Y23" s="1062" t="e">
        <f ca="1"/>
        <v>#NAME?</v>
      </c>
      <c r="Z23" s="1061">
        <v>9</v>
      </c>
      <c r="AA23" s="1055" t="e">
        <f ca="1"/>
        <v>#NAME?</v>
      </c>
      <c r="AB23" s="1103" t="e">
        <f ca="1"/>
        <v>#NAME?</v>
      </c>
      <c r="AC23" s="1055" t="e">
        <f ca="1"/>
        <v>#NAME?</v>
      </c>
      <c r="AD23" s="1055" t="e">
        <f ca="1"/>
        <v>#NAME?</v>
      </c>
      <c r="AE23" s="1055" t="e">
        <f ca="1"/>
        <v>#NAME?</v>
      </c>
      <c r="AF23" s="1055" t="e">
        <f ca="1"/>
        <v>#NAME?</v>
      </c>
      <c r="AG23" s="1055" t="e">
        <f ca="1"/>
        <v>#NAME?</v>
      </c>
      <c r="AH23" s="1055" t="e">
        <f ca="1"/>
        <v>#NAME?</v>
      </c>
      <c r="AI23" s="1055" t="e">
        <f ca="1"/>
        <v>#NAME?</v>
      </c>
      <c r="AJ23" s="1054" t="e">
        <f ca="1"/>
        <v>#NAME?</v>
      </c>
      <c r="AO23" s="1052"/>
    </row>
    <row r="24" spans="1:41" ht="15" customHeight="1" x14ac:dyDescent="0.2">
      <c r="A24" s="1068">
        <v>22</v>
      </c>
      <c r="B24" s="1067">
        <f t="shared" si="11"/>
        <v>-0.89999999999999836</v>
      </c>
      <c r="C24" s="1052">
        <f t="shared" si="0"/>
        <v>-2.3030303030303005</v>
      </c>
      <c r="D24" s="1066">
        <v>6.49</v>
      </c>
      <c r="E24" s="1065" t="e">
        <f ca="1"/>
        <v>#NAME?</v>
      </c>
      <c r="F24" s="1064">
        <f t="shared" si="1"/>
        <v>7.0511864796513543E-2</v>
      </c>
      <c r="G24" s="1049">
        <f t="shared" si="2"/>
        <v>-0.16239096134954617</v>
      </c>
      <c r="H24" s="1049">
        <f t="shared" si="3"/>
        <v>0.37399130492622712</v>
      </c>
      <c r="I24" s="1049">
        <f t="shared" si="4"/>
        <v>-0.86131330831494635</v>
      </c>
      <c r="J24" s="1049">
        <f t="shared" si="5"/>
        <v>1.9836306494526015</v>
      </c>
      <c r="K24" s="1049">
        <f t="shared" si="6"/>
        <v>-4.5683614957090173</v>
      </c>
      <c r="L24" s="1049">
        <f t="shared" si="7"/>
        <v>10.521074959814694</v>
      </c>
      <c r="M24" s="1049">
        <f t="shared" si="8"/>
        <v>-24.230354452906543</v>
      </c>
      <c r="N24" s="1049">
        <f t="shared" si="9"/>
        <v>55.803240558208934</v>
      </c>
      <c r="O24" s="1049">
        <f t="shared" si="10"/>
        <v>-128.51655401284469</v>
      </c>
      <c r="P24" s="1063" t="e">
        <f ca="1"/>
        <v>#NAME?</v>
      </c>
      <c r="Q24" s="1049" t="e">
        <f ca="1"/>
        <v>#NAME?</v>
      </c>
      <c r="R24" s="1049" t="e">
        <f ca="1"/>
        <v>#NAME?</v>
      </c>
      <c r="S24" s="1049" t="e">
        <f ca="1"/>
        <v>#NAME?</v>
      </c>
      <c r="T24" s="1049" t="e">
        <f ca="1"/>
        <v>#NAME?</v>
      </c>
      <c r="U24" s="1049" t="e">
        <f ca="1"/>
        <v>#NAME?</v>
      </c>
      <c r="V24" s="1049" t="e">
        <f ca="1"/>
        <v>#NAME?</v>
      </c>
      <c r="W24" s="1049" t="e">
        <f ca="1"/>
        <v>#NAME?</v>
      </c>
      <c r="X24" s="1049" t="e">
        <f ca="1"/>
        <v>#NAME?</v>
      </c>
      <c r="Y24" s="1062" t="e">
        <f ca="1"/>
        <v>#NAME?</v>
      </c>
      <c r="Z24" s="1317" t="s">
        <v>27</v>
      </c>
      <c r="AA24" s="1326"/>
      <c r="AB24" s="1326"/>
      <c r="AC24" s="1326"/>
      <c r="AD24" s="1326"/>
      <c r="AE24" s="1326"/>
      <c r="AF24" s="1326"/>
      <c r="AG24" s="1326"/>
      <c r="AH24" s="1327"/>
      <c r="AO24" s="1052"/>
    </row>
    <row r="25" spans="1:41" ht="15" customHeight="1" x14ac:dyDescent="0.2">
      <c r="A25" s="1068">
        <v>23</v>
      </c>
      <c r="B25" s="1067">
        <f t="shared" si="11"/>
        <v>-0.79999999999999838</v>
      </c>
      <c r="C25" s="1052">
        <f t="shared" si="0"/>
        <v>-2.2222222222222197</v>
      </c>
      <c r="D25" s="1066">
        <v>7.17</v>
      </c>
      <c r="E25" s="1065" t="e">
        <f ca="1"/>
        <v>#NAME?</v>
      </c>
      <c r="F25" s="1064">
        <f t="shared" si="1"/>
        <v>8.4657988622530461E-2</v>
      </c>
      <c r="G25" s="1049">
        <f t="shared" si="2"/>
        <v>-0.18812886360562303</v>
      </c>
      <c r="H25" s="1049">
        <f t="shared" si="3"/>
        <v>0.41806414134582842</v>
      </c>
      <c r="I25" s="1049">
        <f t="shared" si="4"/>
        <v>-0.92903142521295101</v>
      </c>
      <c r="J25" s="1049">
        <f t="shared" si="5"/>
        <v>2.0645142782509995</v>
      </c>
      <c r="K25" s="1049">
        <f t="shared" si="6"/>
        <v>-4.5878095072244385</v>
      </c>
      <c r="L25" s="1049">
        <f t="shared" si="7"/>
        <v>10.195132238276516</v>
      </c>
      <c r="M25" s="1049">
        <f t="shared" si="8"/>
        <v>-22.655849418392233</v>
      </c>
      <c r="N25" s="1049">
        <f t="shared" si="9"/>
        <v>50.346332040871566</v>
      </c>
      <c r="O25" s="1049">
        <f t="shared" si="10"/>
        <v>-111.88073786860335</v>
      </c>
      <c r="P25" s="1063" t="e">
        <f ca="1"/>
        <v>#NAME?</v>
      </c>
      <c r="Q25" s="1049" t="e">
        <f ca="1"/>
        <v>#NAME?</v>
      </c>
      <c r="R25" s="1049" t="e">
        <f ca="1"/>
        <v>#NAME?</v>
      </c>
      <c r="S25" s="1049" t="e">
        <f ca="1"/>
        <v>#NAME?</v>
      </c>
      <c r="T25" s="1049" t="e">
        <f ca="1"/>
        <v>#NAME?</v>
      </c>
      <c r="U25" s="1049" t="e">
        <f ca="1"/>
        <v>#NAME?</v>
      </c>
      <c r="V25" s="1049" t="e">
        <f ca="1"/>
        <v>#NAME?</v>
      </c>
      <c r="W25" s="1049" t="e">
        <f ca="1"/>
        <v>#NAME?</v>
      </c>
      <c r="X25" s="1049" t="e">
        <f ca="1"/>
        <v>#NAME?</v>
      </c>
      <c r="Y25" s="1062" t="e">
        <f ca="1"/>
        <v>#NAME?</v>
      </c>
      <c r="Z25" s="18" t="s">
        <v>86</v>
      </c>
      <c r="AA25" s="19" t="s">
        <v>488</v>
      </c>
      <c r="AB25" s="1102" t="s">
        <v>495</v>
      </c>
      <c r="AC25" s="1101" t="s">
        <v>494</v>
      </c>
      <c r="AD25" s="25" t="s">
        <v>30</v>
      </c>
      <c r="AE25" s="19" t="s">
        <v>31</v>
      </c>
      <c r="AF25" s="20" t="s">
        <v>32</v>
      </c>
      <c r="AG25" s="1079" t="s">
        <v>3</v>
      </c>
      <c r="AH25" s="1078" t="s">
        <v>33</v>
      </c>
      <c r="AO25" s="1052"/>
    </row>
    <row r="26" spans="1:41" ht="15" customHeight="1" x14ac:dyDescent="0.2">
      <c r="A26" s="1068">
        <v>24</v>
      </c>
      <c r="B26" s="1067">
        <f t="shared" si="11"/>
        <v>-0.6999999999999984</v>
      </c>
      <c r="C26" s="1052">
        <f t="shared" si="0"/>
        <v>-2.1414141414141388</v>
      </c>
      <c r="D26" s="1066">
        <v>8.14</v>
      </c>
      <c r="E26" s="1065" t="e">
        <f ca="1"/>
        <v>#NAME?</v>
      </c>
      <c r="F26" s="1064">
        <f t="shared" si="1"/>
        <v>0.10098055933250974</v>
      </c>
      <c r="G26" s="1049">
        <f t="shared" si="2"/>
        <v>-0.21624119776254583</v>
      </c>
      <c r="H26" s="1049">
        <f t="shared" si="3"/>
        <v>0.46306195884504714</v>
      </c>
      <c r="I26" s="1049">
        <f t="shared" si="4"/>
        <v>-0.99160742702171589</v>
      </c>
      <c r="J26" s="1049">
        <f t="shared" si="5"/>
        <v>2.1234421669555914</v>
      </c>
      <c r="K26" s="1049">
        <f t="shared" si="6"/>
        <v>-4.5471690847937856</v>
      </c>
      <c r="L26" s="1049">
        <f t="shared" si="7"/>
        <v>9.7373721815786016</v>
      </c>
      <c r="M26" s="1049">
        <f t="shared" si="8"/>
        <v>-20.851746489845059</v>
      </c>
      <c r="N26" s="1049">
        <f t="shared" si="9"/>
        <v>44.652224806536843</v>
      </c>
      <c r="O26" s="1049">
        <f t="shared" si="10"/>
        <v>-95.618905646321195</v>
      </c>
      <c r="P26" s="1063" t="e">
        <f ca="1"/>
        <v>#NAME?</v>
      </c>
      <c r="Q26" s="1049" t="e">
        <f ca="1"/>
        <v>#NAME?</v>
      </c>
      <c r="R26" s="1049" t="e">
        <f ca="1"/>
        <v>#NAME?</v>
      </c>
      <c r="S26" s="1049" t="e">
        <f ca="1"/>
        <v>#NAME?</v>
      </c>
      <c r="T26" s="1049" t="e">
        <f ca="1"/>
        <v>#NAME?</v>
      </c>
      <c r="U26" s="1049" t="e">
        <f ca="1"/>
        <v>#NAME?</v>
      </c>
      <c r="V26" s="1049" t="e">
        <f ca="1"/>
        <v>#NAME?</v>
      </c>
      <c r="W26" s="1049" t="e">
        <f ca="1"/>
        <v>#NAME?</v>
      </c>
      <c r="X26" s="1049" t="e">
        <f ca="1"/>
        <v>#NAME?</v>
      </c>
      <c r="Y26" s="1062" t="e">
        <f ca="1"/>
        <v>#NAME?</v>
      </c>
      <c r="Z26" s="1077">
        <v>0</v>
      </c>
      <c r="AA26" s="1076" t="e">
        <f t="array" aca="1" ref="AA26:AA35" ca="1">MMULT(TRANSPOSE(H),y)</f>
        <v>#NAME?</v>
      </c>
      <c r="AB26" s="1052" t="e">
        <f t="shared" ref="AB26:AB35" ca="1" si="12">SQRT(AD26)</f>
        <v>#NAME?</v>
      </c>
      <c r="AC26" s="1074" t="e">
        <f t="shared" ref="AC26:AC35" ca="1" si="13">AD26/AD$38</f>
        <v>#NAME?</v>
      </c>
      <c r="AD26" s="1100" t="e">
        <f ca="1">SUMSQ(AA26)-COUNT(y)*AVERAGE(y)^2</f>
        <v>#NAME?</v>
      </c>
      <c r="AE26" s="1049">
        <v>0</v>
      </c>
      <c r="AF26" s="1062"/>
      <c r="AG26" s="1064"/>
      <c r="AH26" s="1062"/>
      <c r="AO26" s="1052"/>
    </row>
    <row r="27" spans="1:41" ht="15" customHeight="1" x14ac:dyDescent="0.2">
      <c r="A27" s="1068">
        <v>25</v>
      </c>
      <c r="B27" s="1067">
        <f t="shared" si="11"/>
        <v>-0.59999999999999842</v>
      </c>
      <c r="C27" s="1052">
        <f t="shared" si="0"/>
        <v>-2.0606060606060579</v>
      </c>
      <c r="D27" s="1066">
        <v>9.5500000000000007</v>
      </c>
      <c r="E27" s="1065" t="e">
        <f ca="1"/>
        <v>#NAME?</v>
      </c>
      <c r="F27" s="1064">
        <f t="shared" si="1"/>
        <v>0.11966624910956007</v>
      </c>
      <c r="G27" s="1049">
        <f t="shared" si="2"/>
        <v>-0.24658499816515375</v>
      </c>
      <c r="H27" s="1049">
        <f t="shared" si="3"/>
        <v>0.50811454167364944</v>
      </c>
      <c r="I27" s="1049">
        <f t="shared" si="4"/>
        <v>-1.0470239040547913</v>
      </c>
      <c r="J27" s="1049">
        <f t="shared" si="5"/>
        <v>2.1575038022947188</v>
      </c>
      <c r="K27" s="1049">
        <f t="shared" si="6"/>
        <v>-4.4457654107891118</v>
      </c>
      <c r="L27" s="1049">
        <f t="shared" si="7"/>
        <v>9.1609711495048245</v>
      </c>
      <c r="M27" s="1049">
        <f t="shared" si="8"/>
        <v>-18.877152671706881</v>
      </c>
      <c r="N27" s="1049">
        <f t="shared" si="9"/>
        <v>38.89837520230504</v>
      </c>
      <c r="O27" s="1049">
        <f t="shared" si="10"/>
        <v>-80.154227689598144</v>
      </c>
      <c r="P27" s="1063" t="e">
        <f ca="1"/>
        <v>#NAME?</v>
      </c>
      <c r="Q27" s="1049" t="e">
        <f ca="1"/>
        <v>#NAME?</v>
      </c>
      <c r="R27" s="1049" t="e">
        <f ca="1"/>
        <v>#NAME?</v>
      </c>
      <c r="S27" s="1049" t="e">
        <f ca="1"/>
        <v>#NAME?</v>
      </c>
      <c r="T27" s="1049" t="e">
        <f ca="1"/>
        <v>#NAME?</v>
      </c>
      <c r="U27" s="1049" t="e">
        <f ca="1"/>
        <v>#NAME?</v>
      </c>
      <c r="V27" s="1049" t="e">
        <f ca="1"/>
        <v>#NAME?</v>
      </c>
      <c r="W27" s="1049" t="e">
        <f ca="1"/>
        <v>#NAME?</v>
      </c>
      <c r="X27" s="1049" t="e">
        <f ca="1"/>
        <v>#NAME?</v>
      </c>
      <c r="Y27" s="1062" t="e">
        <f ca="1"/>
        <v>#NAME?</v>
      </c>
      <c r="Z27" s="885">
        <v>1</v>
      </c>
      <c r="AA27" s="1072" t="e">
        <f ca="1"/>
        <v>#NAME?</v>
      </c>
      <c r="AB27" s="1052" t="e">
        <f t="shared" ca="1" si="12"/>
        <v>#NAME?</v>
      </c>
      <c r="AC27" s="1074" t="e">
        <f t="shared" ca="1" si="13"/>
        <v>#NAME?</v>
      </c>
      <c r="AD27" s="1100" t="e">
        <f t="shared" ref="AD27:AD35" ca="1" si="14">SUMSQ(AA27)</f>
        <v>#NAME?</v>
      </c>
      <c r="AE27" s="1049">
        <v>1</v>
      </c>
      <c r="AF27" s="1099" t="e">
        <f t="shared" ref="AF27:AF38" ca="1" si="15">AD27/AE27</f>
        <v>#NAME?</v>
      </c>
      <c r="AG27" s="1098" t="e">
        <f t="shared" ref="AG27:AG36" ca="1" si="16">AF27/AF$37</f>
        <v>#NAME?</v>
      </c>
      <c r="AH27" s="1062" t="e">
        <f t="shared" ref="AH27:AH36" ca="1" si="17">FDIST(AG27,AE27,AE$37)</f>
        <v>#NAME?</v>
      </c>
      <c r="AI27" s="1049" t="e">
        <f t="shared" ref="AI27:AI36" ca="1" si="18">IF(AH27&lt;=0.05,"*","")</f>
        <v>#NAME?</v>
      </c>
      <c r="AO27" s="1052"/>
    </row>
    <row r="28" spans="1:41" ht="15" customHeight="1" x14ac:dyDescent="0.2">
      <c r="A28" s="1068">
        <v>26</v>
      </c>
      <c r="B28" s="1067">
        <f t="shared" si="11"/>
        <v>-0.49999999999999845</v>
      </c>
      <c r="C28" s="1052">
        <f t="shared" si="0"/>
        <v>-1.979797979797977</v>
      </c>
      <c r="D28" s="1066">
        <v>10.16</v>
      </c>
      <c r="E28" s="1065" t="e">
        <f ca="1"/>
        <v>#NAME?</v>
      </c>
      <c r="F28" s="1064">
        <f t="shared" si="1"/>
        <v>0.14088659254764296</v>
      </c>
      <c r="G28" s="1049">
        <f t="shared" si="2"/>
        <v>-0.27892699130644427</v>
      </c>
      <c r="H28" s="1049">
        <f t="shared" si="3"/>
        <v>0.5522190938996262</v>
      </c>
      <c r="I28" s="1049">
        <f t="shared" si="4"/>
        <v>-1.0932822465083494</v>
      </c>
      <c r="J28" s="1049">
        <f t="shared" si="5"/>
        <v>2.1644779829862242</v>
      </c>
      <c r="K28" s="1049">
        <f t="shared" si="6"/>
        <v>-4.2852291380333263</v>
      </c>
      <c r="L28" s="1049">
        <f t="shared" si="7"/>
        <v>8.4838879904498068</v>
      </c>
      <c r="M28" s="1049">
        <f t="shared" si="8"/>
        <v>-16.796384304324846</v>
      </c>
      <c r="N28" s="1049">
        <f t="shared" si="9"/>
        <v>33.253447713612779</v>
      </c>
      <c r="O28" s="1049">
        <f t="shared" si="10"/>
        <v>-65.835108604728234</v>
      </c>
      <c r="P28" s="1063" t="e">
        <f ca="1"/>
        <v>#NAME?</v>
      </c>
      <c r="Q28" s="1049" t="e">
        <f ca="1"/>
        <v>#NAME?</v>
      </c>
      <c r="R28" s="1049" t="e">
        <f ca="1"/>
        <v>#NAME?</v>
      </c>
      <c r="S28" s="1049" t="e">
        <f ca="1"/>
        <v>#NAME?</v>
      </c>
      <c r="T28" s="1049" t="e">
        <f ca="1"/>
        <v>#NAME?</v>
      </c>
      <c r="U28" s="1049" t="e">
        <f ca="1"/>
        <v>#NAME?</v>
      </c>
      <c r="V28" s="1049" t="e">
        <f ca="1"/>
        <v>#NAME?</v>
      </c>
      <c r="W28" s="1049" t="e">
        <f ca="1"/>
        <v>#NAME?</v>
      </c>
      <c r="X28" s="1049" t="e">
        <f ca="1"/>
        <v>#NAME?</v>
      </c>
      <c r="Y28" s="1062" t="e">
        <f ca="1"/>
        <v>#NAME?</v>
      </c>
      <c r="Z28" s="885">
        <v>2</v>
      </c>
      <c r="AA28" s="1072" t="e">
        <f ca="1"/>
        <v>#NAME?</v>
      </c>
      <c r="AB28" s="1052" t="e">
        <f t="shared" ca="1" si="12"/>
        <v>#NAME?</v>
      </c>
      <c r="AC28" s="1074" t="e">
        <f t="shared" ca="1" si="13"/>
        <v>#NAME?</v>
      </c>
      <c r="AD28" s="1100" t="e">
        <f t="shared" ca="1" si="14"/>
        <v>#NAME?</v>
      </c>
      <c r="AE28" s="1049">
        <v>1</v>
      </c>
      <c r="AF28" s="1099" t="e">
        <f t="shared" ca="1" si="15"/>
        <v>#NAME?</v>
      </c>
      <c r="AG28" s="1098" t="e">
        <f t="shared" ca="1" si="16"/>
        <v>#NAME?</v>
      </c>
      <c r="AH28" s="1062" t="e">
        <f t="shared" ca="1" si="17"/>
        <v>#NAME?</v>
      </c>
      <c r="AI28" s="1049" t="e">
        <f t="shared" ca="1" si="18"/>
        <v>#NAME?</v>
      </c>
      <c r="AO28" s="1052"/>
    </row>
    <row r="29" spans="1:41" ht="15" customHeight="1" x14ac:dyDescent="0.2">
      <c r="A29" s="1068">
        <v>27</v>
      </c>
      <c r="B29" s="1067">
        <f t="shared" si="11"/>
        <v>-0.39999999999999847</v>
      </c>
      <c r="C29" s="1052">
        <f t="shared" si="0"/>
        <v>-1.8989898989898963</v>
      </c>
      <c r="D29" s="1066">
        <v>11.120000000000001</v>
      </c>
      <c r="E29" s="1065" t="e">
        <f ca="1"/>
        <v>#NAME?</v>
      </c>
      <c r="F29" s="1064">
        <f t="shared" si="1"/>
        <v>0.16479033365504575</v>
      </c>
      <c r="G29" s="1049">
        <f t="shared" si="2"/>
        <v>-0.31293517906210666</v>
      </c>
      <c r="H29" s="1049">
        <f t="shared" si="3"/>
        <v>0.59426074407753504</v>
      </c>
      <c r="I29" s="1049">
        <f t="shared" si="4"/>
        <v>-1.1284951503694589</v>
      </c>
      <c r="J29" s="1049">
        <f t="shared" si="5"/>
        <v>2.1430008916106864</v>
      </c>
      <c r="K29" s="1049">
        <f t="shared" si="6"/>
        <v>-4.0695370466950358</v>
      </c>
      <c r="L29" s="1049">
        <f t="shared" si="7"/>
        <v>7.7280097452390457</v>
      </c>
      <c r="M29" s="1049">
        <f t="shared" si="8"/>
        <v>-14.675412445504431</v>
      </c>
      <c r="N29" s="1049">
        <f t="shared" si="9"/>
        <v>27.868459997523523</v>
      </c>
      <c r="O29" s="1049">
        <f t="shared" si="10"/>
        <v>-52.92192403570116</v>
      </c>
      <c r="P29" s="1063" t="e">
        <f ca="1"/>
        <v>#NAME?</v>
      </c>
      <c r="Q29" s="1049" t="e">
        <f ca="1"/>
        <v>#NAME?</v>
      </c>
      <c r="R29" s="1049" t="e">
        <f ca="1"/>
        <v>#NAME?</v>
      </c>
      <c r="S29" s="1049" t="e">
        <f ca="1"/>
        <v>#NAME?</v>
      </c>
      <c r="T29" s="1049" t="e">
        <f ca="1"/>
        <v>#NAME?</v>
      </c>
      <c r="U29" s="1049" t="e">
        <f ca="1"/>
        <v>#NAME?</v>
      </c>
      <c r="V29" s="1049" t="e">
        <f ca="1"/>
        <v>#NAME?</v>
      </c>
      <c r="W29" s="1049" t="e">
        <f ca="1"/>
        <v>#NAME?</v>
      </c>
      <c r="X29" s="1049" t="e">
        <f ca="1"/>
        <v>#NAME?</v>
      </c>
      <c r="Y29" s="1062" t="e">
        <f ca="1"/>
        <v>#NAME?</v>
      </c>
      <c r="Z29" s="885">
        <v>3</v>
      </c>
      <c r="AA29" s="1072" t="e">
        <f ca="1"/>
        <v>#NAME?</v>
      </c>
      <c r="AB29" s="1052" t="e">
        <f t="shared" ca="1" si="12"/>
        <v>#NAME?</v>
      </c>
      <c r="AC29" s="1074" t="e">
        <f t="shared" ca="1" si="13"/>
        <v>#NAME?</v>
      </c>
      <c r="AD29" s="1100" t="e">
        <f t="shared" ca="1" si="14"/>
        <v>#NAME?</v>
      </c>
      <c r="AE29" s="1049">
        <v>1</v>
      </c>
      <c r="AF29" s="1099" t="e">
        <f t="shared" ca="1" si="15"/>
        <v>#NAME?</v>
      </c>
      <c r="AG29" s="1098" t="e">
        <f t="shared" ca="1" si="16"/>
        <v>#NAME?</v>
      </c>
      <c r="AH29" s="1062" t="e">
        <f t="shared" ca="1" si="17"/>
        <v>#NAME?</v>
      </c>
      <c r="AI29" s="1049" t="e">
        <f t="shared" ca="1" si="18"/>
        <v>#NAME?</v>
      </c>
      <c r="AO29" s="1052"/>
    </row>
    <row r="30" spans="1:41" ht="15" customHeight="1" x14ac:dyDescent="0.2">
      <c r="A30" s="1068">
        <v>28</v>
      </c>
      <c r="B30" s="1067">
        <f t="shared" si="11"/>
        <v>-0.29999999999999849</v>
      </c>
      <c r="C30" s="1052">
        <f t="shared" si="0"/>
        <v>-1.8181818181818155</v>
      </c>
      <c r="D30" s="1066">
        <v>12.28</v>
      </c>
      <c r="E30" s="1065" t="e">
        <f ca="1"/>
        <v>#NAME?</v>
      </c>
      <c r="F30" s="1064">
        <f t="shared" si="1"/>
        <v>0.19149519501466403</v>
      </c>
      <c r="G30" s="1049">
        <f t="shared" si="2"/>
        <v>-0.34817308184484319</v>
      </c>
      <c r="H30" s="1049">
        <f t="shared" si="3"/>
        <v>0.63304196699062298</v>
      </c>
      <c r="I30" s="1049">
        <f t="shared" si="4"/>
        <v>-1.1509853945284036</v>
      </c>
      <c r="J30" s="1049">
        <f t="shared" si="5"/>
        <v>2.0927007173243668</v>
      </c>
      <c r="K30" s="1049">
        <f t="shared" si="6"/>
        <v>-3.8049103951352072</v>
      </c>
      <c r="L30" s="1049">
        <f t="shared" si="7"/>
        <v>6.9180189002458201</v>
      </c>
      <c r="M30" s="1049">
        <f t="shared" si="8"/>
        <v>-12.578216182265107</v>
      </c>
      <c r="N30" s="1049">
        <f t="shared" si="9"/>
        <v>22.869483967754707</v>
      </c>
      <c r="O30" s="1049">
        <f t="shared" si="10"/>
        <v>-41.580879941372132</v>
      </c>
      <c r="P30" s="1063" t="e">
        <f ca="1"/>
        <v>#NAME?</v>
      </c>
      <c r="Q30" s="1049" t="e">
        <f ca="1"/>
        <v>#NAME?</v>
      </c>
      <c r="R30" s="1049" t="e">
        <f ca="1"/>
        <v>#NAME?</v>
      </c>
      <c r="S30" s="1049" t="e">
        <f ca="1"/>
        <v>#NAME?</v>
      </c>
      <c r="T30" s="1049" t="e">
        <f ca="1"/>
        <v>#NAME?</v>
      </c>
      <c r="U30" s="1049" t="e">
        <f ca="1"/>
        <v>#NAME?</v>
      </c>
      <c r="V30" s="1049" t="e">
        <f ca="1"/>
        <v>#NAME?</v>
      </c>
      <c r="W30" s="1049" t="e">
        <f ca="1"/>
        <v>#NAME?</v>
      </c>
      <c r="X30" s="1049" t="e">
        <f ca="1"/>
        <v>#NAME?</v>
      </c>
      <c r="Y30" s="1062" t="e">
        <f ca="1"/>
        <v>#NAME?</v>
      </c>
      <c r="Z30" s="885">
        <v>4</v>
      </c>
      <c r="AA30" s="1072" t="e">
        <f ca="1"/>
        <v>#NAME?</v>
      </c>
      <c r="AB30" s="1052" t="e">
        <f t="shared" ca="1" si="12"/>
        <v>#NAME?</v>
      </c>
      <c r="AC30" s="1074" t="e">
        <f t="shared" ca="1" si="13"/>
        <v>#NAME?</v>
      </c>
      <c r="AD30" s="1100" t="e">
        <f t="shared" ca="1" si="14"/>
        <v>#NAME?</v>
      </c>
      <c r="AE30" s="1049">
        <v>1</v>
      </c>
      <c r="AF30" s="1099" t="e">
        <f t="shared" ca="1" si="15"/>
        <v>#NAME?</v>
      </c>
      <c r="AG30" s="1098" t="e">
        <f t="shared" ca="1" si="16"/>
        <v>#NAME?</v>
      </c>
      <c r="AH30" s="1062" t="e">
        <f t="shared" ca="1" si="17"/>
        <v>#NAME?</v>
      </c>
      <c r="AI30" s="1049" t="e">
        <f t="shared" ca="1" si="18"/>
        <v>#NAME?</v>
      </c>
      <c r="AO30" s="1052"/>
    </row>
    <row r="31" spans="1:41" ht="15" customHeight="1" x14ac:dyDescent="0.2">
      <c r="A31" s="1068">
        <v>29</v>
      </c>
      <c r="B31" s="1067">
        <f t="shared" si="11"/>
        <v>-0.19999999999999848</v>
      </c>
      <c r="C31" s="1052">
        <f t="shared" si="0"/>
        <v>-1.7373737373737346</v>
      </c>
      <c r="D31" s="1066">
        <v>13.15</v>
      </c>
      <c r="E31" s="1065" t="e">
        <f ca="1"/>
        <v>#NAME?</v>
      </c>
      <c r="F31" s="1064">
        <f t="shared" si="1"/>
        <v>0.22107931473244868</v>
      </c>
      <c r="G31" s="1049">
        <f t="shared" si="2"/>
        <v>-0.38409739529273851</v>
      </c>
      <c r="H31" s="1049">
        <f t="shared" si="3"/>
        <v>0.66732072717526181</v>
      </c>
      <c r="I31" s="1049">
        <f t="shared" si="4"/>
        <v>-1.1593855057994429</v>
      </c>
      <c r="J31" s="1049">
        <f t="shared" si="5"/>
        <v>2.0142859292677158</v>
      </c>
      <c r="K31" s="1049">
        <f t="shared" si="6"/>
        <v>-3.4995674730711772</v>
      </c>
      <c r="L31" s="1049">
        <f t="shared" si="7"/>
        <v>6.0800566198812271</v>
      </c>
      <c r="M31" s="1049">
        <f t="shared" si="8"/>
        <v>-10.563330693126964</v>
      </c>
      <c r="N31" s="1049">
        <f t="shared" si="9"/>
        <v>18.352453325432673</v>
      </c>
      <c r="O31" s="1049">
        <f t="shared" si="10"/>
        <v>-31.885070423983986</v>
      </c>
      <c r="P31" s="1063" t="e">
        <f ca="1"/>
        <v>#NAME?</v>
      </c>
      <c r="Q31" s="1049" t="e">
        <f ca="1"/>
        <v>#NAME?</v>
      </c>
      <c r="R31" s="1049" t="e">
        <f ca="1"/>
        <v>#NAME?</v>
      </c>
      <c r="S31" s="1049" t="e">
        <f ca="1"/>
        <v>#NAME?</v>
      </c>
      <c r="T31" s="1049" t="e">
        <f ca="1"/>
        <v>#NAME?</v>
      </c>
      <c r="U31" s="1049" t="e">
        <f ca="1"/>
        <v>#NAME?</v>
      </c>
      <c r="V31" s="1049" t="e">
        <f ca="1"/>
        <v>#NAME?</v>
      </c>
      <c r="W31" s="1049" t="e">
        <f ca="1"/>
        <v>#NAME?</v>
      </c>
      <c r="X31" s="1049" t="e">
        <f ca="1"/>
        <v>#NAME?</v>
      </c>
      <c r="Y31" s="1062" t="e">
        <f ca="1"/>
        <v>#NAME?</v>
      </c>
      <c r="Z31" s="885">
        <v>5</v>
      </c>
      <c r="AA31" s="1072" t="e">
        <f ca="1"/>
        <v>#NAME?</v>
      </c>
      <c r="AB31" s="1052" t="e">
        <f t="shared" ca="1" si="12"/>
        <v>#NAME?</v>
      </c>
      <c r="AC31" s="1074" t="e">
        <f t="shared" ca="1" si="13"/>
        <v>#NAME?</v>
      </c>
      <c r="AD31" s="1100" t="e">
        <f t="shared" ca="1" si="14"/>
        <v>#NAME?</v>
      </c>
      <c r="AE31" s="1049">
        <v>1</v>
      </c>
      <c r="AF31" s="1099" t="e">
        <f t="shared" ca="1" si="15"/>
        <v>#NAME?</v>
      </c>
      <c r="AG31" s="1098" t="e">
        <f t="shared" ca="1" si="16"/>
        <v>#NAME?</v>
      </c>
      <c r="AH31" s="1062" t="e">
        <f t="shared" ca="1" si="17"/>
        <v>#NAME?</v>
      </c>
      <c r="AI31" s="1049" t="e">
        <f t="shared" ca="1" si="18"/>
        <v>#NAME?</v>
      </c>
      <c r="AO31" s="1052"/>
    </row>
    <row r="32" spans="1:41" ht="15" customHeight="1" x14ac:dyDescent="0.2">
      <c r="A32" s="1068">
        <v>30</v>
      </c>
      <c r="B32" s="1067">
        <f t="shared" si="11"/>
        <v>-9.9999999999998479E-2</v>
      </c>
      <c r="C32" s="1052">
        <f t="shared" si="0"/>
        <v>-1.6565656565656537</v>
      </c>
      <c r="D32" s="1066">
        <v>13.59</v>
      </c>
      <c r="E32" s="1065" t="e">
        <f ca="1"/>
        <v>#NAME?</v>
      </c>
      <c r="F32" s="1064">
        <f t="shared" si="1"/>
        <v>0.25357265557396541</v>
      </c>
      <c r="G32" s="1049">
        <f t="shared" si="2"/>
        <v>-0.4200597526679824</v>
      </c>
      <c r="H32" s="1049">
        <f t="shared" si="3"/>
        <v>0.69585655997524232</v>
      </c>
      <c r="I32" s="1049">
        <f t="shared" si="4"/>
        <v>-1.1527320791509046</v>
      </c>
      <c r="J32" s="1049">
        <f t="shared" si="5"/>
        <v>1.9095763735429092</v>
      </c>
      <c r="K32" s="1049">
        <f t="shared" si="6"/>
        <v>-3.1633386390003695</v>
      </c>
      <c r="L32" s="1049">
        <f t="shared" si="7"/>
        <v>5.2402781494551478</v>
      </c>
      <c r="M32" s="1049">
        <f t="shared" si="8"/>
        <v>-8.6808648132388164</v>
      </c>
      <c r="N32" s="1049">
        <f t="shared" si="9"/>
        <v>14.380422518900641</v>
      </c>
      <c r="O32" s="1049">
        <f t="shared" si="10"/>
        <v>-23.822114071714154</v>
      </c>
      <c r="P32" s="1063" t="e">
        <f ca="1"/>
        <v>#NAME?</v>
      </c>
      <c r="Q32" s="1049" t="e">
        <f ca="1"/>
        <v>#NAME?</v>
      </c>
      <c r="R32" s="1049" t="e">
        <f ca="1"/>
        <v>#NAME?</v>
      </c>
      <c r="S32" s="1049" t="e">
        <f ca="1"/>
        <v>#NAME?</v>
      </c>
      <c r="T32" s="1049" t="e">
        <f ca="1"/>
        <v>#NAME?</v>
      </c>
      <c r="U32" s="1049" t="e">
        <f ca="1"/>
        <v>#NAME?</v>
      </c>
      <c r="V32" s="1049" t="e">
        <f ca="1"/>
        <v>#NAME?</v>
      </c>
      <c r="W32" s="1049" t="e">
        <f ca="1"/>
        <v>#NAME?</v>
      </c>
      <c r="X32" s="1049" t="e">
        <f ca="1"/>
        <v>#NAME?</v>
      </c>
      <c r="Y32" s="1062" t="e">
        <f ca="1"/>
        <v>#NAME?</v>
      </c>
      <c r="Z32" s="885">
        <v>6</v>
      </c>
      <c r="AA32" s="1072" t="e">
        <f ca="1"/>
        <v>#NAME?</v>
      </c>
      <c r="AB32" s="1052" t="e">
        <f t="shared" ca="1" si="12"/>
        <v>#NAME?</v>
      </c>
      <c r="AC32" s="1074" t="e">
        <f t="shared" ca="1" si="13"/>
        <v>#NAME?</v>
      </c>
      <c r="AD32" s="1100" t="e">
        <f t="shared" ca="1" si="14"/>
        <v>#NAME?</v>
      </c>
      <c r="AE32" s="1049">
        <v>1</v>
      </c>
      <c r="AF32" s="1099" t="e">
        <f t="shared" ca="1" si="15"/>
        <v>#NAME?</v>
      </c>
      <c r="AG32" s="1098" t="e">
        <f t="shared" ca="1" si="16"/>
        <v>#NAME?</v>
      </c>
      <c r="AH32" s="1062" t="e">
        <f t="shared" ca="1" si="17"/>
        <v>#NAME?</v>
      </c>
      <c r="AI32" s="1049" t="e">
        <f t="shared" ca="1" si="18"/>
        <v>#NAME?</v>
      </c>
      <c r="AO32" s="1052"/>
    </row>
    <row r="33" spans="1:41" ht="15" customHeight="1" x14ac:dyDescent="0.2">
      <c r="A33" s="1068">
        <v>31</v>
      </c>
      <c r="B33" s="1067">
        <f t="shared" si="11"/>
        <v>1.5265566588595902E-15</v>
      </c>
      <c r="C33" s="1052">
        <f t="shared" si="0"/>
        <v>-1.5757575757575728</v>
      </c>
      <c r="D33" s="1066">
        <v>13.74</v>
      </c>
      <c r="E33" s="1065" t="e">
        <f ca="1"/>
        <v>#NAME?</v>
      </c>
      <c r="F33" s="1064">
        <f t="shared" si="1"/>
        <v>0.28894874233042644</v>
      </c>
      <c r="G33" s="1049">
        <f t="shared" si="2"/>
        <v>-0.45531316973279234</v>
      </c>
      <c r="H33" s="1049">
        <f t="shared" si="3"/>
        <v>0.71746317654864111</v>
      </c>
      <c r="I33" s="1049">
        <f t="shared" si="4"/>
        <v>-1.1305480357736142</v>
      </c>
      <c r="J33" s="1049">
        <f t="shared" si="5"/>
        <v>1.7814696321281158</v>
      </c>
      <c r="K33" s="1049">
        <f t="shared" si="6"/>
        <v>-2.8071642688079348</v>
      </c>
      <c r="L33" s="1049">
        <f t="shared" si="7"/>
        <v>4.4234103629700705</v>
      </c>
      <c r="M33" s="1049">
        <f t="shared" si="8"/>
        <v>-6.9702223901346434</v>
      </c>
      <c r="N33" s="1049">
        <f t="shared" si="9"/>
        <v>10.983380735969719</v>
      </c>
      <c r="O33" s="1049">
        <f t="shared" si="10"/>
        <v>-17.307145402134072</v>
      </c>
      <c r="P33" s="1063" t="e">
        <f ca="1"/>
        <v>#NAME?</v>
      </c>
      <c r="Q33" s="1049" t="e">
        <f ca="1"/>
        <v>#NAME?</v>
      </c>
      <c r="R33" s="1049" t="e">
        <f ca="1"/>
        <v>#NAME?</v>
      </c>
      <c r="S33" s="1049" t="e">
        <f ca="1"/>
        <v>#NAME?</v>
      </c>
      <c r="T33" s="1049" t="e">
        <f ca="1"/>
        <v>#NAME?</v>
      </c>
      <c r="U33" s="1049" t="e">
        <f ca="1"/>
        <v>#NAME?</v>
      </c>
      <c r="V33" s="1049" t="e">
        <f ca="1"/>
        <v>#NAME?</v>
      </c>
      <c r="W33" s="1049" t="e">
        <f ca="1"/>
        <v>#NAME?</v>
      </c>
      <c r="X33" s="1049" t="e">
        <f ca="1"/>
        <v>#NAME?</v>
      </c>
      <c r="Y33" s="1062" t="e">
        <f ca="1"/>
        <v>#NAME?</v>
      </c>
      <c r="Z33" s="885">
        <v>7</v>
      </c>
      <c r="AA33" s="1072" t="e">
        <f ca="1"/>
        <v>#NAME?</v>
      </c>
      <c r="AB33" s="1052" t="e">
        <f t="shared" ca="1" si="12"/>
        <v>#NAME?</v>
      </c>
      <c r="AC33" s="1074" t="e">
        <f t="shared" ca="1" si="13"/>
        <v>#NAME?</v>
      </c>
      <c r="AD33" s="1100" t="e">
        <f t="shared" ca="1" si="14"/>
        <v>#NAME?</v>
      </c>
      <c r="AE33" s="1049">
        <v>1</v>
      </c>
      <c r="AF33" s="1099" t="e">
        <f t="shared" ca="1" si="15"/>
        <v>#NAME?</v>
      </c>
      <c r="AG33" s="1098" t="e">
        <f t="shared" ca="1" si="16"/>
        <v>#NAME?</v>
      </c>
      <c r="AH33" s="1062" t="e">
        <f t="shared" ca="1" si="17"/>
        <v>#NAME?</v>
      </c>
      <c r="AI33" s="1049" t="e">
        <f t="shared" ca="1" si="18"/>
        <v>#NAME?</v>
      </c>
      <c r="AO33" s="1052"/>
    </row>
    <row r="34" spans="1:41" ht="15" customHeight="1" x14ac:dyDescent="0.2">
      <c r="A34" s="1068">
        <v>32</v>
      </c>
      <c r="B34" s="1067">
        <f t="shared" si="11"/>
        <v>0.10000000000000153</v>
      </c>
      <c r="C34" s="1052">
        <f t="shared" si="0"/>
        <v>-1.4949494949494921</v>
      </c>
      <c r="D34" s="1066">
        <v>13.88</v>
      </c>
      <c r="E34" s="1065" t="e">
        <f ca="1"/>
        <v>#NAME?</v>
      </c>
      <c r="F34" s="1064">
        <f t="shared" si="1"/>
        <v>0.32711712354863842</v>
      </c>
      <c r="G34" s="1049">
        <f t="shared" si="2"/>
        <v>-0.48902357863836765</v>
      </c>
      <c r="H34" s="1049">
        <f t="shared" si="3"/>
        <v>0.73106555190382105</v>
      </c>
      <c r="I34" s="1049">
        <f t="shared" si="4"/>
        <v>-1.092906077593589</v>
      </c>
      <c r="J34" s="1049">
        <f t="shared" si="5"/>
        <v>1.6338393887257663</v>
      </c>
      <c r="K34" s="1049">
        <f t="shared" si="6"/>
        <v>-2.4425073690041712</v>
      </c>
      <c r="L34" s="1049">
        <f t="shared" si="7"/>
        <v>3.6514251577031991</v>
      </c>
      <c r="M34" s="1049">
        <f t="shared" si="8"/>
        <v>-5.4586961953542668</v>
      </c>
      <c r="N34" s="1049">
        <f t="shared" si="9"/>
        <v>8.1604751203275754</v>
      </c>
      <c r="O34" s="1049">
        <f t="shared" si="10"/>
        <v>-12.199498159681607</v>
      </c>
      <c r="P34" s="1063" t="e">
        <f ca="1"/>
        <v>#NAME?</v>
      </c>
      <c r="Q34" s="1049" t="e">
        <f ca="1"/>
        <v>#NAME?</v>
      </c>
      <c r="R34" s="1049" t="e">
        <f ca="1"/>
        <v>#NAME?</v>
      </c>
      <c r="S34" s="1049" t="e">
        <f ca="1"/>
        <v>#NAME?</v>
      </c>
      <c r="T34" s="1049" t="e">
        <f ca="1"/>
        <v>#NAME?</v>
      </c>
      <c r="U34" s="1049" t="e">
        <f ca="1"/>
        <v>#NAME?</v>
      </c>
      <c r="V34" s="1049" t="e">
        <f ca="1"/>
        <v>#NAME?</v>
      </c>
      <c r="W34" s="1049" t="e">
        <f ca="1"/>
        <v>#NAME?</v>
      </c>
      <c r="X34" s="1049" t="e">
        <f ca="1"/>
        <v>#NAME?</v>
      </c>
      <c r="Y34" s="1062" t="e">
        <f ca="1"/>
        <v>#NAME?</v>
      </c>
      <c r="Z34" s="885">
        <v>8</v>
      </c>
      <c r="AA34" s="1072" t="e">
        <f ca="1"/>
        <v>#NAME?</v>
      </c>
      <c r="AB34" s="1052" t="e">
        <f t="shared" ca="1" si="12"/>
        <v>#NAME?</v>
      </c>
      <c r="AC34" s="1074" t="e">
        <f t="shared" ca="1" si="13"/>
        <v>#NAME?</v>
      </c>
      <c r="AD34" s="1100" t="e">
        <f t="shared" ca="1" si="14"/>
        <v>#NAME?</v>
      </c>
      <c r="AE34" s="1049">
        <v>1</v>
      </c>
      <c r="AF34" s="1099" t="e">
        <f t="shared" ca="1" si="15"/>
        <v>#NAME?</v>
      </c>
      <c r="AG34" s="1098" t="e">
        <f t="shared" ca="1" si="16"/>
        <v>#NAME?</v>
      </c>
      <c r="AH34" s="1062" t="e">
        <f t="shared" ca="1" si="17"/>
        <v>#NAME?</v>
      </c>
      <c r="AI34" s="1049" t="e">
        <f t="shared" ca="1" si="18"/>
        <v>#NAME?</v>
      </c>
      <c r="AO34" s="1052"/>
    </row>
    <row r="35" spans="1:41" ht="15" customHeight="1" x14ac:dyDescent="0.2">
      <c r="A35" s="1068">
        <v>33</v>
      </c>
      <c r="B35" s="1067">
        <f t="shared" si="11"/>
        <v>0.20000000000000154</v>
      </c>
      <c r="C35" s="1052">
        <f t="shared" ref="C35:C66" si="19">(B35-B$103)/B$104*E$104</f>
        <v>-1.4141414141414113</v>
      </c>
      <c r="D35" s="1066">
        <v>14.669999999999998</v>
      </c>
      <c r="E35" s="1065" t="e">
        <f ca="1"/>
        <v>#NAME?</v>
      </c>
      <c r="F35" s="1064">
        <f t="shared" ref="F35:F66" si="20">EXP(-(C35^2)/2)</f>
        <v>0.36791697797475509</v>
      </c>
      <c r="G35" s="1049">
        <f t="shared" ref="G35:G66" si="21">$F35*$C35</f>
        <v>-0.52028663551985466</v>
      </c>
      <c r="H35" s="1049">
        <f t="shared" ref="H35:H66" si="22">$F35*$C35^2</f>
        <v>0.73575887851292421</v>
      </c>
      <c r="I35" s="1049">
        <f t="shared" ref="I35:I66" si="23">$F35*$C35^3</f>
        <v>-1.0404671009273656</v>
      </c>
      <c r="J35" s="1049">
        <f t="shared" ref="J35:J66" si="24">$F35*$C35^4</f>
        <v>1.4713676174730392</v>
      </c>
      <c r="K35" s="1049">
        <f t="shared" ref="K35:K66" si="25">$F35*$C35^5</f>
        <v>-2.0807218832952028</v>
      </c>
      <c r="L35" s="1049">
        <f t="shared" ref="L35:L66" si="26">$F35*$C35^6</f>
        <v>2.9424349864780588</v>
      </c>
      <c r="M35" s="1049">
        <f t="shared" ref="M35:M66" si="27">$F35*$C35^7</f>
        <v>-4.1610191727972463</v>
      </c>
      <c r="N35" s="1049">
        <f t="shared" ref="N35:N66" si="28">$F35*$C35^8</f>
        <v>5.8842695372890237</v>
      </c>
      <c r="O35" s="1049">
        <f t="shared" ref="O35:O66" si="29">$F35*$C35^9</f>
        <v>-8.3211892446511282</v>
      </c>
      <c r="P35" s="1063" t="e">
        <f ca="1"/>
        <v>#NAME?</v>
      </c>
      <c r="Q35" s="1049" t="e">
        <f ca="1"/>
        <v>#NAME?</v>
      </c>
      <c r="R35" s="1049" t="e">
        <f ca="1"/>
        <v>#NAME?</v>
      </c>
      <c r="S35" s="1049" t="e">
        <f ca="1"/>
        <v>#NAME?</v>
      </c>
      <c r="T35" s="1049" t="e">
        <f ca="1"/>
        <v>#NAME?</v>
      </c>
      <c r="U35" s="1049" t="e">
        <f ca="1"/>
        <v>#NAME?</v>
      </c>
      <c r="V35" s="1049" t="e">
        <f ca="1"/>
        <v>#NAME?</v>
      </c>
      <c r="W35" s="1049" t="e">
        <f ca="1"/>
        <v>#NAME?</v>
      </c>
      <c r="X35" s="1049" t="e">
        <f ca="1"/>
        <v>#NAME?</v>
      </c>
      <c r="Y35" s="1062" t="e">
        <f ca="1"/>
        <v>#NAME?</v>
      </c>
      <c r="Z35" s="881">
        <v>9</v>
      </c>
      <c r="AA35" s="1071" t="e">
        <f ca="1"/>
        <v>#NAME?</v>
      </c>
      <c r="AB35" s="1097" t="e">
        <f t="shared" ca="1" si="12"/>
        <v>#NAME?</v>
      </c>
      <c r="AC35" s="1096" t="e">
        <f t="shared" ca="1" si="13"/>
        <v>#NAME?</v>
      </c>
      <c r="AD35" s="1095" t="e">
        <f t="shared" ca="1" si="14"/>
        <v>#NAME?</v>
      </c>
      <c r="AE35" s="1055">
        <v>1</v>
      </c>
      <c r="AF35" s="1094" t="e">
        <f t="shared" ca="1" si="15"/>
        <v>#NAME?</v>
      </c>
      <c r="AG35" s="1093" t="e">
        <f t="shared" ca="1" si="16"/>
        <v>#NAME?</v>
      </c>
      <c r="AH35" s="1054" t="e">
        <f t="shared" ca="1" si="17"/>
        <v>#NAME?</v>
      </c>
      <c r="AI35" s="1049" t="e">
        <f t="shared" ca="1" si="18"/>
        <v>#NAME?</v>
      </c>
      <c r="AO35" s="1052"/>
    </row>
    <row r="36" spans="1:41" ht="15" customHeight="1" x14ac:dyDescent="0.2">
      <c r="A36" s="1068">
        <v>34</v>
      </c>
      <c r="B36" s="1067">
        <f t="shared" ref="B36:B67" si="30">B35+0.1</f>
        <v>0.30000000000000154</v>
      </c>
      <c r="C36" s="1052">
        <f t="shared" si="19"/>
        <v>-1.3333333333333302</v>
      </c>
      <c r="D36" s="1066">
        <v>14.219999999999999</v>
      </c>
      <c r="E36" s="1065" t="e">
        <f ca="1"/>
        <v>#NAME?</v>
      </c>
      <c r="F36" s="1064">
        <f t="shared" si="20"/>
        <v>0.41111229050718917</v>
      </c>
      <c r="G36" s="1049">
        <f t="shared" si="21"/>
        <v>-0.5481497206762509</v>
      </c>
      <c r="H36" s="1049">
        <f t="shared" si="22"/>
        <v>0.73086629423499949</v>
      </c>
      <c r="I36" s="1049">
        <f t="shared" si="23"/>
        <v>-0.97448839231333029</v>
      </c>
      <c r="J36" s="1049">
        <f t="shared" si="24"/>
        <v>1.2993178564177705</v>
      </c>
      <c r="K36" s="1049">
        <f t="shared" si="25"/>
        <v>-1.7324238085570234</v>
      </c>
      <c r="L36" s="1049">
        <f t="shared" si="26"/>
        <v>2.3098984114093586</v>
      </c>
      <c r="M36" s="1049">
        <f t="shared" si="27"/>
        <v>-3.0798645485458045</v>
      </c>
      <c r="N36" s="1049">
        <f t="shared" si="28"/>
        <v>4.1064860647277293</v>
      </c>
      <c r="O36" s="1049">
        <f t="shared" si="29"/>
        <v>-5.4753147529702932</v>
      </c>
      <c r="P36" s="1063" t="e">
        <f ca="1"/>
        <v>#NAME?</v>
      </c>
      <c r="Q36" s="1049" t="e">
        <f ca="1"/>
        <v>#NAME?</v>
      </c>
      <c r="R36" s="1049" t="e">
        <f ca="1"/>
        <v>#NAME?</v>
      </c>
      <c r="S36" s="1049" t="e">
        <f ca="1"/>
        <v>#NAME?</v>
      </c>
      <c r="T36" s="1049" t="e">
        <f ca="1"/>
        <v>#NAME?</v>
      </c>
      <c r="U36" s="1049" t="e">
        <f ca="1"/>
        <v>#NAME?</v>
      </c>
      <c r="V36" s="1049" t="e">
        <f ca="1"/>
        <v>#NAME?</v>
      </c>
      <c r="W36" s="1049" t="e">
        <f ca="1"/>
        <v>#NAME?</v>
      </c>
      <c r="X36" s="1049" t="e">
        <f ca="1"/>
        <v>#NAME?</v>
      </c>
      <c r="Y36" s="1062" t="e">
        <f ca="1"/>
        <v>#NAME?</v>
      </c>
      <c r="Z36" s="1321" t="s">
        <v>493</v>
      </c>
      <c r="AA36" s="1322"/>
      <c r="AB36" s="1323"/>
      <c r="AC36" s="1092" t="s">
        <v>5</v>
      </c>
      <c r="AD36" s="1091" t="e">
        <f ca="1">SUM(AD26:AD35)</f>
        <v>#NAME?</v>
      </c>
      <c r="AE36" s="751">
        <f>10-1</f>
        <v>9</v>
      </c>
      <c r="AF36" s="1090" t="e">
        <f t="shared" ca="1" si="15"/>
        <v>#NAME?</v>
      </c>
      <c r="AG36" s="1089" t="e">
        <f t="shared" ca="1" si="16"/>
        <v>#NAME?</v>
      </c>
      <c r="AH36" s="1086" t="e">
        <f t="shared" ca="1" si="17"/>
        <v>#NAME?</v>
      </c>
      <c r="AI36" s="1049" t="e">
        <f t="shared" ca="1" si="18"/>
        <v>#NAME?</v>
      </c>
      <c r="AO36" s="1052"/>
    </row>
    <row r="37" spans="1:41" ht="15" customHeight="1" x14ac:dyDescent="0.2">
      <c r="A37" s="1068">
        <v>35</v>
      </c>
      <c r="B37" s="1067">
        <f t="shared" si="30"/>
        <v>0.40000000000000158</v>
      </c>
      <c r="C37" s="1052">
        <f t="shared" si="19"/>
        <v>-1.2525252525252493</v>
      </c>
      <c r="D37" s="1066">
        <v>14.580000000000002</v>
      </c>
      <c r="E37" s="1065" t="e">
        <f ca="1"/>
        <v>#NAME?</v>
      </c>
      <c r="F37" s="1064">
        <f t="shared" si="20"/>
        <v>0.45638900403591753</v>
      </c>
      <c r="G37" s="1049">
        <f t="shared" si="21"/>
        <v>-0.57163875252983465</v>
      </c>
      <c r="H37" s="1049">
        <f t="shared" si="22"/>
        <v>0.71599197286564964</v>
      </c>
      <c r="I37" s="1049">
        <f t="shared" si="23"/>
        <v>-0.89679802661959918</v>
      </c>
      <c r="J37" s="1049">
        <f t="shared" si="24"/>
        <v>1.1232621747558587</v>
      </c>
      <c r="K37" s="1049">
        <f t="shared" si="25"/>
        <v>-1.4069142390881426</v>
      </c>
      <c r="L37" s="1049">
        <f t="shared" si="26"/>
        <v>1.7621956125952447</v>
      </c>
      <c r="M37" s="1049">
        <f t="shared" si="27"/>
        <v>-2.2071945046647454</v>
      </c>
      <c r="N37" s="1049">
        <f t="shared" si="28"/>
        <v>2.7645668543275526</v>
      </c>
      <c r="O37" s="1049">
        <f t="shared" si="29"/>
        <v>-3.4626897973395518</v>
      </c>
      <c r="P37" s="1063" t="e">
        <f ca="1"/>
        <v>#NAME?</v>
      </c>
      <c r="Q37" s="1049" t="e">
        <f ca="1"/>
        <v>#NAME?</v>
      </c>
      <c r="R37" s="1049" t="e">
        <f ca="1"/>
        <v>#NAME?</v>
      </c>
      <c r="S37" s="1049" t="e">
        <f ca="1"/>
        <v>#NAME?</v>
      </c>
      <c r="T37" s="1049" t="e">
        <f ca="1"/>
        <v>#NAME?</v>
      </c>
      <c r="U37" s="1049" t="e">
        <f ca="1"/>
        <v>#NAME?</v>
      </c>
      <c r="V37" s="1049" t="e">
        <f ca="1"/>
        <v>#NAME?</v>
      </c>
      <c r="W37" s="1049" t="e">
        <f ca="1"/>
        <v>#NAME?</v>
      </c>
      <c r="X37" s="1049" t="e">
        <f ca="1"/>
        <v>#NAME?</v>
      </c>
      <c r="Y37" s="1062" t="e">
        <f ca="1"/>
        <v>#NAME?</v>
      </c>
      <c r="Z37" s="25" t="s">
        <v>492</v>
      </c>
      <c r="AA37" s="18" t="s">
        <v>491</v>
      </c>
      <c r="AB37" s="20" t="s">
        <v>490</v>
      </c>
      <c r="AC37" s="1088" t="s">
        <v>6</v>
      </c>
      <c r="AD37" s="1087" t="e">
        <f ca="1">SUMSQ(y)-SUMSQ(y_hat)</f>
        <v>#NAME?</v>
      </c>
      <c r="AE37" s="749">
        <f>100-10</f>
        <v>90</v>
      </c>
      <c r="AF37" s="1062" t="e">
        <f t="shared" ca="1" si="15"/>
        <v>#NAME?</v>
      </c>
      <c r="AG37" s="752" t="s">
        <v>191</v>
      </c>
      <c r="AH37" s="1086" t="e">
        <f ca="1">SQRT(AF37)</f>
        <v>#NAME?</v>
      </c>
      <c r="AO37" s="1052"/>
    </row>
    <row r="38" spans="1:41" ht="15" customHeight="1" x14ac:dyDescent="0.2">
      <c r="A38" s="1068">
        <v>36</v>
      </c>
      <c r="B38" s="1067">
        <f t="shared" si="30"/>
        <v>0.50000000000000155</v>
      </c>
      <c r="C38" s="1052">
        <f t="shared" si="19"/>
        <v>-1.1717171717171686</v>
      </c>
      <c r="D38" s="1066">
        <v>13.76</v>
      </c>
      <c r="E38" s="1065" t="e">
        <f ca="1"/>
        <v>#NAME?</v>
      </c>
      <c r="F38" s="1064">
        <f t="shared" si="20"/>
        <v>0.50335451031720979</v>
      </c>
      <c r="G38" s="1049">
        <f t="shared" si="21"/>
        <v>-0.58978912319996146</v>
      </c>
      <c r="H38" s="1049">
        <f t="shared" si="22"/>
        <v>0.69106604334540744</v>
      </c>
      <c r="I38" s="1049">
        <f t="shared" si="23"/>
        <v>-0.80973394977845503</v>
      </c>
      <c r="J38" s="1049">
        <f t="shared" si="24"/>
        <v>0.94877917347778318</v>
      </c>
      <c r="K38" s="1049">
        <f t="shared" si="25"/>
        <v>-1.1117008497315408</v>
      </c>
      <c r="L38" s="1049">
        <f t="shared" si="26"/>
        <v>1.3025989754430141</v>
      </c>
      <c r="M38" s="1049">
        <f t="shared" si="27"/>
        <v>-1.5262775873877699</v>
      </c>
      <c r="N38" s="1049">
        <f t="shared" si="28"/>
        <v>1.7883656579493012</v>
      </c>
      <c r="O38" s="1049">
        <f t="shared" si="29"/>
        <v>-2.095458750728469</v>
      </c>
      <c r="P38" s="1063" t="e">
        <f ca="1"/>
        <v>#NAME?</v>
      </c>
      <c r="Q38" s="1049" t="e">
        <f ca="1"/>
        <v>#NAME?</v>
      </c>
      <c r="R38" s="1049" t="e">
        <f ca="1"/>
        <v>#NAME?</v>
      </c>
      <c r="S38" s="1049" t="e">
        <f ca="1"/>
        <v>#NAME?</v>
      </c>
      <c r="T38" s="1049" t="e">
        <f ca="1"/>
        <v>#NAME?</v>
      </c>
      <c r="U38" s="1049" t="e">
        <f ca="1"/>
        <v>#NAME?</v>
      </c>
      <c r="V38" s="1049" t="e">
        <f ca="1"/>
        <v>#NAME?</v>
      </c>
      <c r="W38" s="1049" t="e">
        <f ca="1"/>
        <v>#NAME?</v>
      </c>
      <c r="X38" s="1049" t="e">
        <f ca="1"/>
        <v>#NAME?</v>
      </c>
      <c r="Y38" s="1062" t="e">
        <f ca="1"/>
        <v>#NAME?</v>
      </c>
      <c r="Z38" s="1057">
        <f>FINV(0.05,1,90)</f>
        <v>3.9468757306805347</v>
      </c>
      <c r="AA38" s="1069">
        <f>TINV(0.05,90)</f>
        <v>1.986674540703772</v>
      </c>
      <c r="AB38" s="1054" t="e">
        <f ca="1">SQRT(Z38*AF37)</f>
        <v>#NAME?</v>
      </c>
      <c r="AC38" s="1085" t="s">
        <v>7</v>
      </c>
      <c r="AD38" s="1084">
        <f>SUMSQ(y)-COUNT(y)*AVERAGE(y)^2</f>
        <v>2342.0938909999968</v>
      </c>
      <c r="AE38" s="1081">
        <f>100-1</f>
        <v>99</v>
      </c>
      <c r="AF38" s="1083">
        <f t="shared" si="15"/>
        <v>23.657514050505018</v>
      </c>
      <c r="AG38" s="1082" t="s">
        <v>370</v>
      </c>
      <c r="AH38" s="1062" t="e">
        <f ca="1">AD36/AD38</f>
        <v>#NAME?</v>
      </c>
      <c r="AM38" s="1081"/>
      <c r="AO38" s="1052"/>
    </row>
    <row r="39" spans="1:41" ht="15" customHeight="1" x14ac:dyDescent="0.2">
      <c r="A39" s="1068">
        <v>37</v>
      </c>
      <c r="B39" s="1067">
        <f t="shared" si="30"/>
        <v>0.60000000000000153</v>
      </c>
      <c r="C39" s="1052">
        <f t="shared" si="19"/>
        <v>-1.0909090909090877</v>
      </c>
      <c r="D39" s="1066">
        <v>13.1</v>
      </c>
      <c r="E39" s="1065" t="e">
        <f ca="1"/>
        <v>#NAME?</v>
      </c>
      <c r="F39" s="1064">
        <f t="shared" si="20"/>
        <v>0.55153977449716618</v>
      </c>
      <c r="G39" s="1049">
        <f t="shared" si="21"/>
        <v>-0.60167975399690676</v>
      </c>
      <c r="H39" s="1049">
        <f t="shared" si="22"/>
        <v>0.65637791345116925</v>
      </c>
      <c r="I39" s="1049">
        <f t="shared" si="23"/>
        <v>-0.71604863285581888</v>
      </c>
      <c r="J39" s="1049">
        <f t="shared" si="24"/>
        <v>0.78114396311543655</v>
      </c>
      <c r="K39" s="1049">
        <f t="shared" si="25"/>
        <v>-0.85215705067138281</v>
      </c>
      <c r="L39" s="1049">
        <f t="shared" si="26"/>
        <v>0.92962587345968772</v>
      </c>
      <c r="M39" s="1049">
        <f t="shared" si="27"/>
        <v>-1.0141373165014744</v>
      </c>
      <c r="N39" s="1049">
        <f t="shared" si="28"/>
        <v>1.1063316180016054</v>
      </c>
      <c r="O39" s="1049">
        <f t="shared" si="29"/>
        <v>-1.2069072196381117</v>
      </c>
      <c r="P39" s="1063" t="e">
        <f ca="1"/>
        <v>#NAME?</v>
      </c>
      <c r="Q39" s="1049" t="e">
        <f ca="1"/>
        <v>#NAME?</v>
      </c>
      <c r="R39" s="1049" t="e">
        <f ca="1"/>
        <v>#NAME?</v>
      </c>
      <c r="S39" s="1049" t="e">
        <f ca="1"/>
        <v>#NAME?</v>
      </c>
      <c r="T39" s="1049" t="e">
        <f ca="1"/>
        <v>#NAME?</v>
      </c>
      <c r="U39" s="1049" t="e">
        <f ca="1"/>
        <v>#NAME?</v>
      </c>
      <c r="V39" s="1049" t="e">
        <f ca="1"/>
        <v>#NAME?</v>
      </c>
      <c r="W39" s="1049" t="e">
        <f ca="1"/>
        <v>#NAME?</v>
      </c>
      <c r="X39" s="1049" t="e">
        <f ca="1"/>
        <v>#NAME?</v>
      </c>
      <c r="Y39" s="1062" t="e">
        <f ca="1"/>
        <v>#NAME?</v>
      </c>
      <c r="Z39" s="1317" t="s">
        <v>489</v>
      </c>
      <c r="AA39" s="1315"/>
      <c r="AB39" s="1315"/>
      <c r="AC39" s="1315"/>
      <c r="AD39" s="1315"/>
      <c r="AE39" s="1315"/>
      <c r="AF39" s="1315"/>
      <c r="AG39" s="1315"/>
      <c r="AH39" s="1316"/>
      <c r="AI39"/>
      <c r="AO39" s="1052"/>
    </row>
    <row r="40" spans="1:41" ht="15" customHeight="1" x14ac:dyDescent="0.2">
      <c r="A40" s="1068">
        <v>38</v>
      </c>
      <c r="B40" s="1067">
        <f t="shared" si="30"/>
        <v>0.70000000000000151</v>
      </c>
      <c r="C40" s="1052">
        <f t="shared" si="19"/>
        <v>-1.0101010101010068</v>
      </c>
      <c r="D40" s="1066">
        <v>13.14</v>
      </c>
      <c r="E40" s="1065" t="e">
        <f ca="1"/>
        <v>#NAME?</v>
      </c>
      <c r="F40" s="1064">
        <f t="shared" si="20"/>
        <v>0.60040429522850736</v>
      </c>
      <c r="G40" s="1049">
        <f t="shared" si="21"/>
        <v>-0.60646898507929836</v>
      </c>
      <c r="H40" s="1049">
        <f t="shared" si="22"/>
        <v>0.61259493442353186</v>
      </c>
      <c r="I40" s="1049">
        <f t="shared" si="23"/>
        <v>-0.61878276204396954</v>
      </c>
      <c r="J40" s="1049">
        <f t="shared" si="24"/>
        <v>0.62503309297370457</v>
      </c>
      <c r="K40" s="1049">
        <f t="shared" si="25"/>
        <v>-0.63134655855929556</v>
      </c>
      <c r="L40" s="1049">
        <f t="shared" si="26"/>
        <v>0.63772379652453892</v>
      </c>
      <c r="M40" s="1049">
        <f t="shared" si="27"/>
        <v>-0.64416545103488565</v>
      </c>
      <c r="N40" s="1049">
        <f t="shared" si="28"/>
        <v>0.65067217276250866</v>
      </c>
      <c r="O40" s="1049">
        <f t="shared" si="29"/>
        <v>-0.6572446189520269</v>
      </c>
      <c r="P40" s="1063" t="e">
        <f ca="1"/>
        <v>#NAME?</v>
      </c>
      <c r="Q40" s="1049" t="e">
        <f ca="1"/>
        <v>#NAME?</v>
      </c>
      <c r="R40" s="1049" t="e">
        <f ca="1"/>
        <v>#NAME?</v>
      </c>
      <c r="S40" s="1049" t="e">
        <f ca="1"/>
        <v>#NAME?</v>
      </c>
      <c r="T40" s="1049" t="e">
        <f ca="1"/>
        <v>#NAME?</v>
      </c>
      <c r="U40" s="1049" t="e">
        <f ca="1"/>
        <v>#NAME?</v>
      </c>
      <c r="V40" s="1049" t="e">
        <f ca="1"/>
        <v>#NAME?</v>
      </c>
      <c r="W40" s="1049" t="e">
        <f ca="1"/>
        <v>#NAME?</v>
      </c>
      <c r="X40" s="1049" t="e">
        <f ca="1"/>
        <v>#NAME?</v>
      </c>
      <c r="Y40" s="1062" t="e">
        <f ca="1"/>
        <v>#NAME?</v>
      </c>
      <c r="Z40" s="18" t="s">
        <v>86</v>
      </c>
      <c r="AA40" s="18" t="s">
        <v>488</v>
      </c>
      <c r="AB40" s="18" t="s">
        <v>183</v>
      </c>
      <c r="AC40" s="1080"/>
      <c r="AD40" s="1080"/>
      <c r="AE40" s="1080"/>
      <c r="AF40" s="1080"/>
      <c r="AG40" s="1079" t="s">
        <v>43</v>
      </c>
      <c r="AH40" s="1078" t="s">
        <v>33</v>
      </c>
      <c r="AI40"/>
      <c r="AO40" s="1052"/>
    </row>
    <row r="41" spans="1:41" ht="15" customHeight="1" x14ac:dyDescent="0.2">
      <c r="A41" s="1068">
        <v>39</v>
      </c>
      <c r="B41" s="1067">
        <f t="shared" si="30"/>
        <v>0.80000000000000149</v>
      </c>
      <c r="C41" s="1052">
        <f t="shared" si="19"/>
        <v>-0.92929292929292595</v>
      </c>
      <c r="D41" s="1066">
        <v>12.16</v>
      </c>
      <c r="E41" s="1065" t="e">
        <f ca="1"/>
        <v>#NAME?</v>
      </c>
      <c r="F41" s="1064">
        <f t="shared" si="20"/>
        <v>0.64934398848132158</v>
      </c>
      <c r="G41" s="1049">
        <f t="shared" si="21"/>
        <v>-0.60343077717455929</v>
      </c>
      <c r="H41" s="1049">
        <f t="shared" si="22"/>
        <v>0.5607639545460531</v>
      </c>
      <c r="I41" s="1049">
        <f t="shared" si="23"/>
        <v>-0.52111397796198677</v>
      </c>
      <c r="J41" s="1049">
        <f t="shared" si="24"/>
        <v>0.48426753507578402</v>
      </c>
      <c r="K41" s="1049">
        <f t="shared" si="25"/>
        <v>-0.45002639623204005</v>
      </c>
      <c r="L41" s="1049">
        <f t="shared" si="26"/>
        <v>0.41820634801361151</v>
      </c>
      <c r="M41" s="1049">
        <f t="shared" si="27"/>
        <v>-0.38863620219446587</v>
      </c>
      <c r="N41" s="1049">
        <f t="shared" si="28"/>
        <v>0.36115687476657304</v>
      </c>
      <c r="O41" s="1049">
        <f t="shared" si="29"/>
        <v>-0.33562053008610709</v>
      </c>
      <c r="P41" s="1063" t="e">
        <f ca="1"/>
        <v>#NAME?</v>
      </c>
      <c r="Q41" s="1049" t="e">
        <f ca="1"/>
        <v>#NAME?</v>
      </c>
      <c r="R41" s="1049" t="e">
        <f ca="1"/>
        <v>#NAME?</v>
      </c>
      <c r="S41" s="1049" t="e">
        <f ca="1"/>
        <v>#NAME?</v>
      </c>
      <c r="T41" s="1049" t="e">
        <f ca="1"/>
        <v>#NAME?</v>
      </c>
      <c r="U41" s="1049" t="e">
        <f ca="1"/>
        <v>#NAME?</v>
      </c>
      <c r="V41" s="1049" t="e">
        <f ca="1"/>
        <v>#NAME?</v>
      </c>
      <c r="W41" s="1049" t="e">
        <f ca="1"/>
        <v>#NAME?</v>
      </c>
      <c r="X41" s="1049" t="e">
        <f ca="1"/>
        <v>#NAME?</v>
      </c>
      <c r="Y41" s="1062" t="e">
        <f ca="1"/>
        <v>#NAME?</v>
      </c>
      <c r="Z41" s="1077">
        <v>0</v>
      </c>
      <c r="AA41" s="1076" t="e">
        <f t="array" aca="1" ref="AA41:AA50" ca="1">MMULT(TRANSPOSE(H),y)</f>
        <v>#NAME?</v>
      </c>
      <c r="AB41" s="1075" t="e">
        <f ca="1">AH37</f>
        <v>#NAME?</v>
      </c>
      <c r="AG41" s="1064" t="e">
        <f t="shared" ref="AG41:AG50" ca="1" si="31">AA41/SQRT(AF$37)</f>
        <v>#NAME?</v>
      </c>
      <c r="AH41" s="1062" t="e">
        <f t="shared" ref="AH41:AH50" ca="1" si="32">TDIST(ABS(AG41),AE$37,2)</f>
        <v>#NAME?</v>
      </c>
      <c r="AI41" s="1049" t="e">
        <f t="shared" ref="AI41:AI50" ca="1" si="33">IF(AH41&lt;=0.05,"*","")</f>
        <v>#NAME?</v>
      </c>
      <c r="AM41" s="1074"/>
      <c r="AO41" s="1052"/>
    </row>
    <row r="42" spans="1:41" ht="15" customHeight="1" x14ac:dyDescent="0.2">
      <c r="A42" s="1068">
        <v>40</v>
      </c>
      <c r="B42" s="1067">
        <f t="shared" si="30"/>
        <v>0.90000000000000147</v>
      </c>
      <c r="C42" s="1052">
        <f t="shared" si="19"/>
        <v>-0.84848484848484518</v>
      </c>
      <c r="D42" s="1066">
        <v>12.01</v>
      </c>
      <c r="E42" s="1065" t="e">
        <f ca="1"/>
        <v>#NAME?</v>
      </c>
      <c r="F42" s="1064">
        <f t="shared" si="20"/>
        <v>0.69770195285301218</v>
      </c>
      <c r="G42" s="1049">
        <f t="shared" si="21"/>
        <v>-0.59198953575406865</v>
      </c>
      <c r="H42" s="1049">
        <f t="shared" si="22"/>
        <v>0.50229415154890478</v>
      </c>
      <c r="I42" s="1049">
        <f t="shared" si="23"/>
        <v>-0.42618897707179637</v>
      </c>
      <c r="J42" s="1049">
        <f t="shared" si="24"/>
        <v>0.36161488963667432</v>
      </c>
      <c r="K42" s="1049">
        <f t="shared" si="25"/>
        <v>-0.30682475484323762</v>
      </c>
      <c r="L42" s="1049">
        <f t="shared" si="26"/>
        <v>0.26033615562456425</v>
      </c>
      <c r="M42" s="1049">
        <f t="shared" si="27"/>
        <v>-0.22089128356023546</v>
      </c>
      <c r="N42" s="1049">
        <f t="shared" si="28"/>
        <v>0.18742290726322938</v>
      </c>
      <c r="O42" s="1049">
        <f t="shared" si="29"/>
        <v>-0.15902549707183039</v>
      </c>
      <c r="P42" s="1063" t="e">
        <f ca="1"/>
        <v>#NAME?</v>
      </c>
      <c r="Q42" s="1049" t="e">
        <f ca="1"/>
        <v>#NAME?</v>
      </c>
      <c r="R42" s="1049" t="e">
        <f ca="1"/>
        <v>#NAME?</v>
      </c>
      <c r="S42" s="1049" t="e">
        <f ca="1"/>
        <v>#NAME?</v>
      </c>
      <c r="T42" s="1049" t="e">
        <f ca="1"/>
        <v>#NAME?</v>
      </c>
      <c r="U42" s="1049" t="e">
        <f ca="1"/>
        <v>#NAME?</v>
      </c>
      <c r="V42" s="1049" t="e">
        <f ca="1"/>
        <v>#NAME?</v>
      </c>
      <c r="W42" s="1049" t="e">
        <f ca="1"/>
        <v>#NAME?</v>
      </c>
      <c r="X42" s="1049" t="e">
        <f ca="1"/>
        <v>#NAME?</v>
      </c>
      <c r="Y42" s="1062" t="e">
        <f ca="1"/>
        <v>#NAME?</v>
      </c>
      <c r="Z42" s="885">
        <v>1</v>
      </c>
      <c r="AA42" s="1072" t="e">
        <f ca="1"/>
        <v>#NAME?</v>
      </c>
      <c r="AB42" s="1070" t="e">
        <f t="shared" ref="AB42:AB50" ca="1" si="34">AB41</f>
        <v>#NAME?</v>
      </c>
      <c r="AG42" s="1064" t="e">
        <f t="shared" ca="1" si="31"/>
        <v>#NAME?</v>
      </c>
      <c r="AH42" s="1062" t="e">
        <f t="shared" ca="1" si="32"/>
        <v>#NAME?</v>
      </c>
      <c r="AI42" s="1049" t="e">
        <f t="shared" ca="1" si="33"/>
        <v>#NAME?</v>
      </c>
      <c r="AO42" s="1052"/>
    </row>
    <row r="43" spans="1:41" ht="15" customHeight="1" x14ac:dyDescent="0.2">
      <c r="A43" s="1068">
        <v>41</v>
      </c>
      <c r="B43" s="1067">
        <f t="shared" si="30"/>
        <v>1.0000000000000016</v>
      </c>
      <c r="C43" s="1052">
        <f t="shared" si="19"/>
        <v>-0.76767676767676418</v>
      </c>
      <c r="D43" s="1066">
        <v>12.309999999999999</v>
      </c>
      <c r="E43" s="1065" t="e">
        <f ca="1"/>
        <v>#NAME?</v>
      </c>
      <c r="F43" s="1064">
        <f t="shared" si="20"/>
        <v>0.74478193375742296</v>
      </c>
      <c r="G43" s="1049">
        <f t="shared" si="21"/>
        <v>-0.57175178753094835</v>
      </c>
      <c r="H43" s="1049">
        <f t="shared" si="22"/>
        <v>0.4389205641651705</v>
      </c>
      <c r="I43" s="1049">
        <f t="shared" si="23"/>
        <v>-0.3369491199651799</v>
      </c>
      <c r="J43" s="1049">
        <f t="shared" si="24"/>
        <v>0.25866801128639955</v>
      </c>
      <c r="K43" s="1049">
        <f t="shared" si="25"/>
        <v>-0.19857342280571993</v>
      </c>
      <c r="L43" s="1049">
        <f t="shared" si="26"/>
        <v>0.15244020336600655</v>
      </c>
      <c r="M43" s="1049">
        <f t="shared" si="27"/>
        <v>-0.11702480258400451</v>
      </c>
      <c r="N43" s="1049">
        <f t="shared" si="28"/>
        <v>8.9837222185700005E-2</v>
      </c>
      <c r="O43" s="1049">
        <f t="shared" si="29"/>
        <v>-6.8965948344577463E-2</v>
      </c>
      <c r="P43" s="1063" t="e">
        <f ca="1"/>
        <v>#NAME?</v>
      </c>
      <c r="Q43" s="1049" t="e">
        <f ca="1"/>
        <v>#NAME?</v>
      </c>
      <c r="R43" s="1049" t="e">
        <f ca="1"/>
        <v>#NAME?</v>
      </c>
      <c r="S43" s="1049" t="e">
        <f ca="1"/>
        <v>#NAME?</v>
      </c>
      <c r="T43" s="1049" t="e">
        <f ca="1"/>
        <v>#NAME?</v>
      </c>
      <c r="U43" s="1049" t="e">
        <f ca="1"/>
        <v>#NAME?</v>
      </c>
      <c r="V43" s="1049" t="e">
        <f ca="1"/>
        <v>#NAME?</v>
      </c>
      <c r="W43" s="1049" t="e">
        <f ca="1"/>
        <v>#NAME?</v>
      </c>
      <c r="X43" s="1049" t="e">
        <f ca="1"/>
        <v>#NAME?</v>
      </c>
      <c r="Y43" s="1062" t="e">
        <f ca="1"/>
        <v>#NAME?</v>
      </c>
      <c r="Z43" s="885">
        <v>2</v>
      </c>
      <c r="AA43" s="1072" t="e">
        <f ca="1"/>
        <v>#NAME?</v>
      </c>
      <c r="AB43" s="1070" t="e">
        <f t="shared" ca="1" si="34"/>
        <v>#NAME?</v>
      </c>
      <c r="AG43" s="1064" t="e">
        <f t="shared" ca="1" si="31"/>
        <v>#NAME?</v>
      </c>
      <c r="AH43" s="1062" t="e">
        <f t="shared" ca="1" si="32"/>
        <v>#NAME?</v>
      </c>
      <c r="AI43" s="1049" t="e">
        <f t="shared" ca="1" si="33"/>
        <v>#NAME?</v>
      </c>
      <c r="AO43" s="1052"/>
    </row>
    <row r="44" spans="1:41" ht="15" customHeight="1" x14ac:dyDescent="0.2">
      <c r="A44" s="1068">
        <v>42</v>
      </c>
      <c r="B44" s="1067">
        <f t="shared" si="30"/>
        <v>1.1000000000000016</v>
      </c>
      <c r="C44" s="1052">
        <f t="shared" si="19"/>
        <v>-0.6868686868686833</v>
      </c>
      <c r="D44" s="1066">
        <v>11.190000000000001</v>
      </c>
      <c r="E44" s="1065" t="e">
        <f ca="1"/>
        <v>#NAME?</v>
      </c>
      <c r="F44" s="1064">
        <f t="shared" si="20"/>
        <v>0.7898641609263457</v>
      </c>
      <c r="G44" s="1049">
        <f t="shared" si="21"/>
        <v>-0.54253295902011345</v>
      </c>
      <c r="H44" s="1049">
        <f t="shared" si="22"/>
        <v>0.37264890114512644</v>
      </c>
      <c r="I44" s="1049">
        <f t="shared" si="23"/>
        <v>-0.25596086139261082</v>
      </c>
      <c r="J44" s="1049">
        <f t="shared" si="24"/>
        <v>0.17581150075451962</v>
      </c>
      <c r="K44" s="1049">
        <f t="shared" si="25"/>
        <v>-0.12075941465966941</v>
      </c>
      <c r="L44" s="1049">
        <f t="shared" si="26"/>
        <v>8.2945860574317951E-2</v>
      </c>
      <c r="M44" s="1049">
        <f t="shared" si="27"/>
        <v>-5.6972914333874657E-2</v>
      </c>
      <c r="N44" s="1049">
        <f t="shared" si="28"/>
        <v>3.9132910855590473E-2</v>
      </c>
      <c r="O44" s="1049">
        <f t="shared" si="29"/>
        <v>-2.6879171092728672E-2</v>
      </c>
      <c r="P44" s="1063" t="e">
        <f ca="1"/>
        <v>#NAME?</v>
      </c>
      <c r="Q44" s="1049" t="e">
        <f ca="1"/>
        <v>#NAME?</v>
      </c>
      <c r="R44" s="1049" t="e">
        <f ca="1"/>
        <v>#NAME?</v>
      </c>
      <c r="S44" s="1049" t="e">
        <f ca="1"/>
        <v>#NAME?</v>
      </c>
      <c r="T44" s="1049" t="e">
        <f ca="1"/>
        <v>#NAME?</v>
      </c>
      <c r="U44" s="1049" t="e">
        <f ca="1"/>
        <v>#NAME?</v>
      </c>
      <c r="V44" s="1049" t="e">
        <f ca="1"/>
        <v>#NAME?</v>
      </c>
      <c r="W44" s="1049" t="e">
        <f ca="1"/>
        <v>#NAME?</v>
      </c>
      <c r="X44" s="1049" t="e">
        <f ca="1"/>
        <v>#NAME?</v>
      </c>
      <c r="Y44" s="1062" t="e">
        <f ca="1"/>
        <v>#NAME?</v>
      </c>
      <c r="Z44" s="885">
        <v>3</v>
      </c>
      <c r="AA44" s="1072" t="e">
        <f ca="1"/>
        <v>#NAME?</v>
      </c>
      <c r="AB44" s="1070" t="e">
        <f t="shared" ca="1" si="34"/>
        <v>#NAME?</v>
      </c>
      <c r="AG44" s="1064" t="e">
        <f t="shared" ca="1" si="31"/>
        <v>#NAME?</v>
      </c>
      <c r="AH44" s="1062" t="e">
        <f t="shared" ca="1" si="32"/>
        <v>#NAME?</v>
      </c>
      <c r="AI44" s="1049" t="e">
        <f t="shared" ca="1" si="33"/>
        <v>#NAME?</v>
      </c>
      <c r="AO44" s="1052"/>
    </row>
    <row r="45" spans="1:41" ht="15" customHeight="1" x14ac:dyDescent="0.2">
      <c r="A45" s="1068">
        <v>43</v>
      </c>
      <c r="B45" s="1067">
        <f t="shared" si="30"/>
        <v>1.2000000000000017</v>
      </c>
      <c r="C45" s="1052">
        <f t="shared" si="19"/>
        <v>-0.6060606060606023</v>
      </c>
      <c r="D45" s="1066">
        <v>11.65</v>
      </c>
      <c r="E45" s="1065" t="e">
        <f ca="1"/>
        <v>#NAME?</v>
      </c>
      <c r="F45" s="1064">
        <f t="shared" si="20"/>
        <v>0.83222309663675542</v>
      </c>
      <c r="G45" s="1049">
        <f t="shared" si="21"/>
        <v>-0.50437763432530314</v>
      </c>
      <c r="H45" s="1049">
        <f t="shared" si="22"/>
        <v>0.30568341474260607</v>
      </c>
      <c r="I45" s="1049">
        <f t="shared" si="23"/>
        <v>-0.1852626756015783</v>
      </c>
      <c r="J45" s="1049">
        <f t="shared" si="24"/>
        <v>0.1122804094555013</v>
      </c>
      <c r="K45" s="1049">
        <f t="shared" si="25"/>
        <v>-6.8048733003333695E-2</v>
      </c>
      <c r="L45" s="1049">
        <f t="shared" si="26"/>
        <v>4.1241656365656527E-2</v>
      </c>
      <c r="M45" s="1049">
        <f t="shared" si="27"/>
        <v>-2.4994943251912895E-2</v>
      </c>
      <c r="N45" s="1049">
        <f t="shared" si="28"/>
        <v>1.5148450455704688E-2</v>
      </c>
      <c r="O45" s="1049">
        <f t="shared" si="29"/>
        <v>-9.1808790640633912E-3</v>
      </c>
      <c r="P45" s="1063" t="e">
        <f ca="1"/>
        <v>#NAME?</v>
      </c>
      <c r="Q45" s="1049" t="e">
        <f ca="1"/>
        <v>#NAME?</v>
      </c>
      <c r="R45" s="1049" t="e">
        <f ca="1"/>
        <v>#NAME?</v>
      </c>
      <c r="S45" s="1049" t="e">
        <f ca="1"/>
        <v>#NAME?</v>
      </c>
      <c r="T45" s="1049" t="e">
        <f ca="1"/>
        <v>#NAME?</v>
      </c>
      <c r="U45" s="1049" t="e">
        <f ca="1"/>
        <v>#NAME?</v>
      </c>
      <c r="V45" s="1049" t="e">
        <f ca="1"/>
        <v>#NAME?</v>
      </c>
      <c r="W45" s="1049" t="e">
        <f ca="1"/>
        <v>#NAME?</v>
      </c>
      <c r="X45" s="1049" t="e">
        <f ca="1"/>
        <v>#NAME?</v>
      </c>
      <c r="Y45" s="1062" t="e">
        <f ca="1"/>
        <v>#NAME?</v>
      </c>
      <c r="Z45" s="885">
        <v>4</v>
      </c>
      <c r="AA45" s="1072" t="e">
        <f ca="1"/>
        <v>#NAME?</v>
      </c>
      <c r="AB45" s="1070" t="e">
        <f t="shared" ca="1" si="34"/>
        <v>#NAME?</v>
      </c>
      <c r="AF45" s="1073"/>
      <c r="AG45" s="1064" t="e">
        <f t="shared" ca="1" si="31"/>
        <v>#NAME?</v>
      </c>
      <c r="AH45" s="1062" t="e">
        <f t="shared" ca="1" si="32"/>
        <v>#NAME?</v>
      </c>
      <c r="AI45" s="1049" t="e">
        <f t="shared" ca="1" si="33"/>
        <v>#NAME?</v>
      </c>
      <c r="AO45" s="1052"/>
    </row>
    <row r="46" spans="1:41" ht="15" customHeight="1" x14ac:dyDescent="0.2">
      <c r="A46" s="1068">
        <v>44</v>
      </c>
      <c r="B46" s="1067">
        <f t="shared" si="30"/>
        <v>1.3000000000000018</v>
      </c>
      <c r="C46" s="1052">
        <f t="shared" si="19"/>
        <v>-0.52525252525252142</v>
      </c>
      <c r="D46" s="1066">
        <v>10.84</v>
      </c>
      <c r="E46" s="1065" t="e">
        <f ca="1"/>
        <v>#NAME?</v>
      </c>
      <c r="F46" s="1064">
        <f t="shared" si="20"/>
        <v>0.87114650971938201</v>
      </c>
      <c r="G46" s="1049">
        <f t="shared" si="21"/>
        <v>-0.45757190409502557</v>
      </c>
      <c r="H46" s="1049">
        <f t="shared" si="22"/>
        <v>0.24034079811051673</v>
      </c>
      <c r="I46" s="1049">
        <f t="shared" si="23"/>
        <v>-0.12623961112875534</v>
      </c>
      <c r="J46" s="1049">
        <f t="shared" si="24"/>
        <v>6.630767453227504E-2</v>
      </c>
      <c r="K46" s="1049">
        <f t="shared" si="25"/>
        <v>-3.4828273491699764E-2</v>
      </c>
      <c r="L46" s="1049">
        <f t="shared" si="26"/>
        <v>1.8293638601700753E-2</v>
      </c>
      <c r="M46" s="1049">
        <f t="shared" si="27"/>
        <v>-9.6087798716003262E-3</v>
      </c>
      <c r="N46" s="1049">
        <f t="shared" si="28"/>
        <v>5.0470358921536687E-3</v>
      </c>
      <c r="O46" s="1049">
        <f t="shared" si="29"/>
        <v>-2.6509683473938269E-3</v>
      </c>
      <c r="P46" s="1063" t="e">
        <f ca="1"/>
        <v>#NAME?</v>
      </c>
      <c r="Q46" s="1049" t="e">
        <f ca="1"/>
        <v>#NAME?</v>
      </c>
      <c r="R46" s="1049" t="e">
        <f ca="1"/>
        <v>#NAME?</v>
      </c>
      <c r="S46" s="1049" t="e">
        <f ca="1"/>
        <v>#NAME?</v>
      </c>
      <c r="T46" s="1049" t="e">
        <f ca="1"/>
        <v>#NAME?</v>
      </c>
      <c r="U46" s="1049" t="e">
        <f ca="1"/>
        <v>#NAME?</v>
      </c>
      <c r="V46" s="1049" t="e">
        <f ca="1"/>
        <v>#NAME?</v>
      </c>
      <c r="W46" s="1049" t="e">
        <f ca="1"/>
        <v>#NAME?</v>
      </c>
      <c r="X46" s="1049" t="e">
        <f ca="1"/>
        <v>#NAME?</v>
      </c>
      <c r="Y46" s="1062" t="e">
        <f ca="1"/>
        <v>#NAME?</v>
      </c>
      <c r="Z46" s="885">
        <v>5</v>
      </c>
      <c r="AA46" s="1072" t="e">
        <f ca="1"/>
        <v>#NAME?</v>
      </c>
      <c r="AB46" s="1070" t="e">
        <f t="shared" ca="1" si="34"/>
        <v>#NAME?</v>
      </c>
      <c r="AF46" s="1073"/>
      <c r="AG46" s="1064" t="e">
        <f t="shared" ca="1" si="31"/>
        <v>#NAME?</v>
      </c>
      <c r="AH46" s="1062" t="e">
        <f t="shared" ca="1" si="32"/>
        <v>#NAME?</v>
      </c>
      <c r="AI46" s="1049" t="e">
        <f t="shared" ca="1" si="33"/>
        <v>#NAME?</v>
      </c>
      <c r="AO46" s="1052"/>
    </row>
    <row r="47" spans="1:41" ht="15" customHeight="1" x14ac:dyDescent="0.2">
      <c r="A47" s="1068">
        <v>45</v>
      </c>
      <c r="B47" s="1067">
        <f t="shared" si="30"/>
        <v>1.4000000000000019</v>
      </c>
      <c r="C47" s="1052">
        <f t="shared" si="19"/>
        <v>-0.44444444444444048</v>
      </c>
      <c r="D47" s="1066">
        <v>10.66</v>
      </c>
      <c r="E47" s="1065" t="e">
        <f ca="1"/>
        <v>#NAME?</v>
      </c>
      <c r="F47" s="1064">
        <f t="shared" si="20"/>
        <v>0.90595519110951117</v>
      </c>
      <c r="G47" s="1049">
        <f t="shared" si="21"/>
        <v>-0.40264675160422359</v>
      </c>
      <c r="H47" s="1049">
        <f t="shared" si="22"/>
        <v>0.17895411182409776</v>
      </c>
      <c r="I47" s="1049">
        <f t="shared" si="23"/>
        <v>-7.953516081070941E-2</v>
      </c>
      <c r="J47" s="1049">
        <f t="shared" si="24"/>
        <v>3.5348960360314978E-2</v>
      </c>
      <c r="K47" s="1049">
        <f t="shared" si="25"/>
        <v>-1.571064904902874E-2</v>
      </c>
      <c r="L47" s="1049">
        <f t="shared" si="26"/>
        <v>6.9825106884571549E-3</v>
      </c>
      <c r="M47" s="1049">
        <f t="shared" si="27"/>
        <v>-3.1033380837587076E-3</v>
      </c>
      <c r="N47" s="1049">
        <f t="shared" si="28"/>
        <v>1.3792613705594133E-3</v>
      </c>
      <c r="O47" s="1049">
        <f t="shared" si="29"/>
        <v>-6.1300505358195605E-4</v>
      </c>
      <c r="P47" s="1063" t="e">
        <f ca="1"/>
        <v>#NAME?</v>
      </c>
      <c r="Q47" s="1049" t="e">
        <f ca="1"/>
        <v>#NAME?</v>
      </c>
      <c r="R47" s="1049" t="e">
        <f ca="1"/>
        <v>#NAME?</v>
      </c>
      <c r="S47" s="1049" t="e">
        <f ca="1"/>
        <v>#NAME?</v>
      </c>
      <c r="T47" s="1049" t="e">
        <f ca="1"/>
        <v>#NAME?</v>
      </c>
      <c r="U47" s="1049" t="e">
        <f ca="1"/>
        <v>#NAME?</v>
      </c>
      <c r="V47" s="1049" t="e">
        <f ca="1"/>
        <v>#NAME?</v>
      </c>
      <c r="W47" s="1049" t="e">
        <f ca="1"/>
        <v>#NAME?</v>
      </c>
      <c r="X47" s="1049" t="e">
        <f ca="1"/>
        <v>#NAME?</v>
      </c>
      <c r="Y47" s="1062" t="e">
        <f ca="1"/>
        <v>#NAME?</v>
      </c>
      <c r="Z47" s="885">
        <v>6</v>
      </c>
      <c r="AA47" s="1072" t="e">
        <f ca="1"/>
        <v>#NAME?</v>
      </c>
      <c r="AB47" s="1070" t="e">
        <f t="shared" ca="1" si="34"/>
        <v>#NAME?</v>
      </c>
      <c r="AG47" s="1064" t="e">
        <f t="shared" ca="1" si="31"/>
        <v>#NAME?</v>
      </c>
      <c r="AH47" s="1062" t="e">
        <f t="shared" ca="1" si="32"/>
        <v>#NAME?</v>
      </c>
      <c r="AI47" s="1049" t="e">
        <f t="shared" ca="1" si="33"/>
        <v>#NAME?</v>
      </c>
      <c r="AO47" s="1052"/>
    </row>
    <row r="48" spans="1:41" ht="15" customHeight="1" x14ac:dyDescent="0.2">
      <c r="A48" s="1068">
        <v>46</v>
      </c>
      <c r="B48" s="1067">
        <f t="shared" si="30"/>
        <v>1.500000000000002</v>
      </c>
      <c r="C48" s="1052">
        <f t="shared" si="19"/>
        <v>-0.36363636363635954</v>
      </c>
      <c r="D48" s="1066">
        <v>10.809999999999999</v>
      </c>
      <c r="E48" s="1065" t="e">
        <f ca="1"/>
        <v>#NAME?</v>
      </c>
      <c r="F48" s="1064">
        <f t="shared" si="20"/>
        <v>0.93602255789541622</v>
      </c>
      <c r="G48" s="1049">
        <f t="shared" si="21"/>
        <v>-0.340371839234693</v>
      </c>
      <c r="H48" s="1049">
        <f t="shared" si="22"/>
        <v>0.12377157790352331</v>
      </c>
      <c r="I48" s="1049">
        <f t="shared" si="23"/>
        <v>-4.500784651037161E-2</v>
      </c>
      <c r="J48" s="1049">
        <f t="shared" si="24"/>
        <v>1.6366489640134943E-2</v>
      </c>
      <c r="K48" s="1049">
        <f t="shared" si="25"/>
        <v>-5.9514507782308206E-3</v>
      </c>
      <c r="L48" s="1049">
        <f t="shared" si="26"/>
        <v>2.1641639193566379E-3</v>
      </c>
      <c r="M48" s="1049">
        <f t="shared" si="27"/>
        <v>-7.8696869794785932E-4</v>
      </c>
      <c r="N48" s="1049">
        <f t="shared" si="28"/>
        <v>2.8617043561740015E-4</v>
      </c>
      <c r="O48" s="1049">
        <f t="shared" si="29"/>
        <v>-1.0406197658814433E-4</v>
      </c>
      <c r="P48" s="1063" t="e">
        <f ca="1"/>
        <v>#NAME?</v>
      </c>
      <c r="Q48" s="1049" t="e">
        <f ca="1"/>
        <v>#NAME?</v>
      </c>
      <c r="R48" s="1049" t="e">
        <f ca="1"/>
        <v>#NAME?</v>
      </c>
      <c r="S48" s="1049" t="e">
        <f ca="1"/>
        <v>#NAME?</v>
      </c>
      <c r="T48" s="1049" t="e">
        <f ca="1"/>
        <v>#NAME?</v>
      </c>
      <c r="U48" s="1049" t="e">
        <f ca="1"/>
        <v>#NAME?</v>
      </c>
      <c r="V48" s="1049" t="e">
        <f ca="1"/>
        <v>#NAME?</v>
      </c>
      <c r="W48" s="1049" t="e">
        <f ca="1"/>
        <v>#NAME?</v>
      </c>
      <c r="X48" s="1049" t="e">
        <f ca="1"/>
        <v>#NAME?</v>
      </c>
      <c r="Y48" s="1062" t="e">
        <f ca="1"/>
        <v>#NAME?</v>
      </c>
      <c r="Z48" s="885">
        <v>7</v>
      </c>
      <c r="AA48" s="1072" t="e">
        <f ca="1"/>
        <v>#NAME?</v>
      </c>
      <c r="AB48" s="1070" t="e">
        <f t="shared" ca="1" si="34"/>
        <v>#NAME?</v>
      </c>
      <c r="AE48"/>
      <c r="AG48" s="1064" t="e">
        <f t="shared" ca="1" si="31"/>
        <v>#NAME?</v>
      </c>
      <c r="AH48" s="1062" t="e">
        <f t="shared" ca="1" si="32"/>
        <v>#NAME?</v>
      </c>
      <c r="AI48" s="1049" t="e">
        <f t="shared" ca="1" si="33"/>
        <v>#NAME?</v>
      </c>
      <c r="AO48" s="1052"/>
    </row>
    <row r="49" spans="1:41" ht="15" customHeight="1" x14ac:dyDescent="0.2">
      <c r="A49" s="1068">
        <v>47</v>
      </c>
      <c r="B49" s="1067">
        <f t="shared" si="30"/>
        <v>1.6000000000000021</v>
      </c>
      <c r="C49" s="1052">
        <f t="shared" si="19"/>
        <v>-0.2828282828282786</v>
      </c>
      <c r="D49" s="1066">
        <v>10.61</v>
      </c>
      <c r="E49" s="1065" t="e">
        <f ca="1"/>
        <v>#NAME?</v>
      </c>
      <c r="F49" s="1064">
        <f t="shared" si="20"/>
        <v>0.96079336034975216</v>
      </c>
      <c r="G49" s="1049">
        <f t="shared" si="21"/>
        <v>-0.27173953626053188</v>
      </c>
      <c r="H49" s="1049">
        <f t="shared" si="22"/>
        <v>7.6855626417118975E-2</v>
      </c>
      <c r="I49" s="1049">
        <f t="shared" si="23"/>
        <v>-2.1736944845245444E-2</v>
      </c>
      <c r="J49" s="1049">
        <f t="shared" si="24"/>
        <v>6.1478227845137715E-3</v>
      </c>
      <c r="K49" s="1049">
        <f t="shared" si="25"/>
        <v>-1.7387781612765961E-3</v>
      </c>
      <c r="L49" s="1049">
        <f t="shared" si="26"/>
        <v>4.9177564157317139E-4</v>
      </c>
      <c r="M49" s="1049">
        <f t="shared" si="27"/>
        <v>-1.3908806024291506E-4</v>
      </c>
      <c r="N49" s="1049">
        <f t="shared" si="28"/>
        <v>3.9338037240419829E-5</v>
      </c>
      <c r="O49" s="1049">
        <f t="shared" si="29"/>
        <v>-1.1125909522542815E-5</v>
      </c>
      <c r="P49" s="1063" t="e">
        <f ca="1"/>
        <v>#NAME?</v>
      </c>
      <c r="Q49" s="1049" t="e">
        <f ca="1"/>
        <v>#NAME?</v>
      </c>
      <c r="R49" s="1049" t="e">
        <f ca="1"/>
        <v>#NAME?</v>
      </c>
      <c r="S49" s="1049" t="e">
        <f ca="1"/>
        <v>#NAME?</v>
      </c>
      <c r="T49" s="1049" t="e">
        <f ca="1"/>
        <v>#NAME?</v>
      </c>
      <c r="U49" s="1049" t="e">
        <f ca="1"/>
        <v>#NAME?</v>
      </c>
      <c r="V49" s="1049" t="e">
        <f ca="1"/>
        <v>#NAME?</v>
      </c>
      <c r="W49" s="1049" t="e">
        <f ca="1"/>
        <v>#NAME?</v>
      </c>
      <c r="X49" s="1049" t="e">
        <f ca="1"/>
        <v>#NAME?</v>
      </c>
      <c r="Y49" s="1062" t="e">
        <f ca="1"/>
        <v>#NAME?</v>
      </c>
      <c r="Z49" s="885">
        <v>8</v>
      </c>
      <c r="AA49" s="1072" t="e">
        <f ca="1"/>
        <v>#NAME?</v>
      </c>
      <c r="AB49" s="1070" t="e">
        <f t="shared" ca="1" si="34"/>
        <v>#NAME?</v>
      </c>
      <c r="AE49"/>
      <c r="AG49" s="1064" t="e">
        <f t="shared" ca="1" si="31"/>
        <v>#NAME?</v>
      </c>
      <c r="AH49" s="1062" t="e">
        <f t="shared" ca="1" si="32"/>
        <v>#NAME?</v>
      </c>
      <c r="AI49" s="1049" t="e">
        <f t="shared" ca="1" si="33"/>
        <v>#NAME?</v>
      </c>
      <c r="AO49" s="1052"/>
    </row>
    <row r="50" spans="1:41" ht="15" customHeight="1" x14ac:dyDescent="0.2">
      <c r="A50" s="1068">
        <v>48</v>
      </c>
      <c r="B50" s="1067">
        <f t="shared" si="30"/>
        <v>1.7000000000000022</v>
      </c>
      <c r="C50" s="1052">
        <f t="shared" si="19"/>
        <v>-0.20202020202019766</v>
      </c>
      <c r="D50" s="1066">
        <v>10.67</v>
      </c>
      <c r="E50" s="1065" t="e">
        <f ca="1"/>
        <v>#NAME?</v>
      </c>
      <c r="F50" s="1064">
        <f t="shared" si="20"/>
        <v>0.97980071404471858</v>
      </c>
      <c r="G50" s="1049">
        <f t="shared" si="21"/>
        <v>-0.19793953819084797</v>
      </c>
      <c r="H50" s="1049">
        <f t="shared" si="22"/>
        <v>3.9987785493099733E-2</v>
      </c>
      <c r="I50" s="1049">
        <f t="shared" si="23"/>
        <v>-8.0783405036563369E-3</v>
      </c>
      <c r="J50" s="1049">
        <f t="shared" si="24"/>
        <v>1.6319879805365984E-3</v>
      </c>
      <c r="K50" s="1049">
        <f t="shared" si="25"/>
        <v>-3.2969454152253802E-4</v>
      </c>
      <c r="L50" s="1049">
        <f t="shared" si="26"/>
        <v>6.660495788333957E-5</v>
      </c>
      <c r="M50" s="1049">
        <f t="shared" si="27"/>
        <v>-1.3455547047139017E-5</v>
      </c>
      <c r="N50" s="1049">
        <f t="shared" si="28"/>
        <v>2.718292332755298E-6</v>
      </c>
      <c r="O50" s="1049">
        <f t="shared" si="29"/>
        <v>-5.4914996621317961E-7</v>
      </c>
      <c r="P50" s="1063" t="e">
        <f ca="1"/>
        <v>#NAME?</v>
      </c>
      <c r="Q50" s="1049" t="e">
        <f ca="1"/>
        <v>#NAME?</v>
      </c>
      <c r="R50" s="1049" t="e">
        <f ca="1"/>
        <v>#NAME?</v>
      </c>
      <c r="S50" s="1049" t="e">
        <f ca="1"/>
        <v>#NAME?</v>
      </c>
      <c r="T50" s="1049" t="e">
        <f ca="1"/>
        <v>#NAME?</v>
      </c>
      <c r="U50" s="1049" t="e">
        <f ca="1"/>
        <v>#NAME?</v>
      </c>
      <c r="V50" s="1049" t="e">
        <f ca="1"/>
        <v>#NAME?</v>
      </c>
      <c r="W50" s="1049" t="e">
        <f ca="1"/>
        <v>#NAME?</v>
      </c>
      <c r="X50" s="1049" t="e">
        <f ca="1"/>
        <v>#NAME?</v>
      </c>
      <c r="Y50" s="1062" t="e">
        <f ca="1"/>
        <v>#NAME?</v>
      </c>
      <c r="Z50" s="881">
        <v>9</v>
      </c>
      <c r="AA50" s="1071" t="e">
        <f ca="1"/>
        <v>#NAME?</v>
      </c>
      <c r="AB50" s="1069" t="e">
        <f t="shared" ca="1" si="34"/>
        <v>#NAME?</v>
      </c>
      <c r="AC50" s="1055"/>
      <c r="AD50" s="1055"/>
      <c r="AE50" s="1006"/>
      <c r="AF50" s="1055"/>
      <c r="AG50" s="1057" t="e">
        <f t="shared" ca="1" si="31"/>
        <v>#NAME?</v>
      </c>
      <c r="AH50" s="1054" t="e">
        <f t="shared" ca="1" si="32"/>
        <v>#NAME?</v>
      </c>
      <c r="AI50" s="1049" t="e">
        <f t="shared" ca="1" si="33"/>
        <v>#NAME?</v>
      </c>
      <c r="AO50" s="1052"/>
    </row>
    <row r="51" spans="1:41" ht="15" customHeight="1" x14ac:dyDescent="0.2">
      <c r="A51" s="1068">
        <v>49</v>
      </c>
      <c r="B51" s="1067">
        <f t="shared" si="30"/>
        <v>1.8000000000000023</v>
      </c>
      <c r="C51" s="1052">
        <f t="shared" si="19"/>
        <v>-0.12121212121211673</v>
      </c>
      <c r="D51" s="1066">
        <v>10.690000000000001</v>
      </c>
      <c r="E51" s="1065" t="e">
        <f ca="1"/>
        <v>#NAME?</v>
      </c>
      <c r="F51" s="1064">
        <f t="shared" si="20"/>
        <v>0.99268072812973973</v>
      </c>
      <c r="G51" s="1049">
        <f t="shared" si="21"/>
        <v>-0.12032493674299431</v>
      </c>
      <c r="H51" s="1049">
        <f t="shared" si="22"/>
        <v>1.4584840817332105E-2</v>
      </c>
      <c r="I51" s="1049">
        <f t="shared" si="23"/>
        <v>-1.7678594930098867E-3</v>
      </c>
      <c r="J51" s="1049">
        <f t="shared" si="24"/>
        <v>2.1428599915270563E-4</v>
      </c>
      <c r="K51" s="1049">
        <f t="shared" si="25"/>
        <v>-2.5974060503357298E-5</v>
      </c>
      <c r="L51" s="1049">
        <f t="shared" si="26"/>
        <v>3.1483709701037985E-6</v>
      </c>
      <c r="M51" s="1049">
        <f t="shared" si="27"/>
        <v>-3.8162072364893119E-7</v>
      </c>
      <c r="N51" s="1049">
        <f t="shared" si="28"/>
        <v>4.625705741198994E-8</v>
      </c>
      <c r="O51" s="1049">
        <f t="shared" si="29"/>
        <v>-5.6069160499379671E-9</v>
      </c>
      <c r="P51" s="1063" t="e">
        <f ca="1"/>
        <v>#NAME?</v>
      </c>
      <c r="Q51" s="1049" t="e">
        <f ca="1"/>
        <v>#NAME?</v>
      </c>
      <c r="R51" s="1049" t="e">
        <f ca="1"/>
        <v>#NAME?</v>
      </c>
      <c r="S51" s="1049" t="e">
        <f ca="1"/>
        <v>#NAME?</v>
      </c>
      <c r="T51" s="1049" t="e">
        <f ca="1"/>
        <v>#NAME?</v>
      </c>
      <c r="U51" s="1049" t="e">
        <f ca="1"/>
        <v>#NAME?</v>
      </c>
      <c r="V51" s="1049" t="e">
        <f ca="1"/>
        <v>#NAME?</v>
      </c>
      <c r="W51" s="1049" t="e">
        <f ca="1"/>
        <v>#NAME?</v>
      </c>
      <c r="X51" s="1049" t="e">
        <f ca="1"/>
        <v>#NAME?</v>
      </c>
      <c r="Y51" s="1062" t="e">
        <f ca="1"/>
        <v>#NAME?</v>
      </c>
      <c r="AB51" s="1049"/>
      <c r="AG51"/>
      <c r="AH51"/>
      <c r="AO51" s="1052"/>
    </row>
    <row r="52" spans="1:41" ht="15" customHeight="1" x14ac:dyDescent="0.2">
      <c r="A52" s="1068">
        <v>50</v>
      </c>
      <c r="B52" s="1067">
        <f t="shared" si="30"/>
        <v>1.9000000000000024</v>
      </c>
      <c r="C52" s="1052">
        <f t="shared" si="19"/>
        <v>-4.04040404040358E-2</v>
      </c>
      <c r="D52" s="1066">
        <v>10.27</v>
      </c>
      <c r="E52" s="1065" t="e">
        <f ca="1"/>
        <v>#NAME?</v>
      </c>
      <c r="F52" s="1064">
        <f t="shared" si="20"/>
        <v>0.9991840897954094</v>
      </c>
      <c r="G52" s="1049">
        <f t="shared" si="21"/>
        <v>-4.0371074335163459E-2</v>
      </c>
      <c r="H52" s="1049">
        <f t="shared" si="22"/>
        <v>1.6311545185922769E-3</v>
      </c>
      <c r="I52" s="1049">
        <f t="shared" si="23"/>
        <v>-6.5905233074427922E-5</v>
      </c>
      <c r="J52" s="1049">
        <f t="shared" si="24"/>
        <v>2.6628376999765822E-6</v>
      </c>
      <c r="K52" s="1049">
        <f t="shared" si="25"/>
        <v>-1.0758940201924358E-7</v>
      </c>
      <c r="L52" s="1049">
        <f t="shared" si="26"/>
        <v>4.3470465462315685E-9</v>
      </c>
      <c r="M52" s="1049">
        <f t="shared" si="27"/>
        <v>-1.7563824429216458E-10</v>
      </c>
      <c r="N52" s="1049">
        <f t="shared" si="28"/>
        <v>7.0964947188745265E-12</v>
      </c>
      <c r="O52" s="1049">
        <f t="shared" si="29"/>
        <v>-2.8672705934843308E-13</v>
      </c>
      <c r="P52" s="1063" t="e">
        <f ca="1"/>
        <v>#NAME?</v>
      </c>
      <c r="Q52" s="1049" t="e">
        <f ca="1"/>
        <v>#NAME?</v>
      </c>
      <c r="R52" s="1049" t="e">
        <f ca="1"/>
        <v>#NAME?</v>
      </c>
      <c r="S52" s="1049" t="e">
        <f ca="1"/>
        <v>#NAME?</v>
      </c>
      <c r="T52" s="1049" t="e">
        <f ca="1"/>
        <v>#NAME?</v>
      </c>
      <c r="U52" s="1049" t="e">
        <f ca="1"/>
        <v>#NAME?</v>
      </c>
      <c r="V52" s="1049" t="e">
        <f ca="1"/>
        <v>#NAME?</v>
      </c>
      <c r="W52" s="1049" t="e">
        <f ca="1"/>
        <v>#NAME?</v>
      </c>
      <c r="X52" s="1049" t="e">
        <f ca="1"/>
        <v>#NAME?</v>
      </c>
      <c r="Y52" s="1062" t="e">
        <f ca="1"/>
        <v>#NAME?</v>
      </c>
      <c r="AB52" s="1049"/>
      <c r="AO52" s="1052"/>
    </row>
    <row r="53" spans="1:41" ht="15" customHeight="1" x14ac:dyDescent="0.2">
      <c r="A53" s="1068">
        <v>51</v>
      </c>
      <c r="B53" s="1067">
        <f t="shared" si="30"/>
        <v>2.0000000000000022</v>
      </c>
      <c r="C53" s="1052">
        <f t="shared" si="19"/>
        <v>4.0404040404044952E-2</v>
      </c>
      <c r="D53" s="1066">
        <v>10.39</v>
      </c>
      <c r="E53" s="1065" t="e">
        <f ca="1"/>
        <v>#NAME?</v>
      </c>
      <c r="F53" s="1064">
        <f t="shared" si="20"/>
        <v>0.99918408979540907</v>
      </c>
      <c r="G53" s="1049">
        <f t="shared" si="21"/>
        <v>4.0371074335172591E-2</v>
      </c>
      <c r="H53" s="1049">
        <f t="shared" si="22"/>
        <v>1.6311545185930154E-3</v>
      </c>
      <c r="I53" s="1049">
        <f t="shared" si="23"/>
        <v>6.5905233074472699E-5</v>
      </c>
      <c r="J53" s="1049">
        <f t="shared" si="24"/>
        <v>2.6628376999789941E-6</v>
      </c>
      <c r="K53" s="1049">
        <f t="shared" si="25"/>
        <v>1.0758940201936541E-7</v>
      </c>
      <c r="L53" s="1049">
        <f t="shared" si="26"/>
        <v>4.3470465462374754E-9</v>
      </c>
      <c r="M53" s="1049">
        <f t="shared" si="27"/>
        <v>1.7563824429244306E-10</v>
      </c>
      <c r="N53" s="1049">
        <f t="shared" si="28"/>
        <v>7.096494718887385E-12</v>
      </c>
      <c r="O53" s="1049">
        <f t="shared" si="29"/>
        <v>2.8672705934901752E-13</v>
      </c>
      <c r="P53" s="1063" t="e">
        <f ca="1"/>
        <v>#NAME?</v>
      </c>
      <c r="Q53" s="1049" t="e">
        <f ca="1"/>
        <v>#NAME?</v>
      </c>
      <c r="R53" s="1049" t="e">
        <f ca="1"/>
        <v>#NAME?</v>
      </c>
      <c r="S53" s="1049" t="e">
        <f ca="1"/>
        <v>#NAME?</v>
      </c>
      <c r="T53" s="1049" t="e">
        <f ca="1"/>
        <v>#NAME?</v>
      </c>
      <c r="U53" s="1049" t="e">
        <f ca="1"/>
        <v>#NAME?</v>
      </c>
      <c r="V53" s="1049" t="e">
        <f ca="1"/>
        <v>#NAME?</v>
      </c>
      <c r="W53" s="1049" t="e">
        <f ca="1"/>
        <v>#NAME?</v>
      </c>
      <c r="X53" s="1049" t="e">
        <f ca="1"/>
        <v>#NAME?</v>
      </c>
      <c r="Y53" s="1062" t="e">
        <f ca="1"/>
        <v>#NAME?</v>
      </c>
      <c r="AB53" s="1049"/>
      <c r="AO53" s="1052"/>
    </row>
    <row r="54" spans="1:41" ht="15" customHeight="1" x14ac:dyDescent="0.2">
      <c r="A54" s="1068">
        <v>52</v>
      </c>
      <c r="B54" s="1067">
        <f t="shared" si="30"/>
        <v>2.1000000000000023</v>
      </c>
      <c r="C54" s="1052">
        <f t="shared" si="19"/>
        <v>0.12121212121212589</v>
      </c>
      <c r="D54" s="1066">
        <v>10</v>
      </c>
      <c r="E54" s="1065" t="e">
        <f ca="1"/>
        <v>#NAME?</v>
      </c>
      <c r="F54" s="1064">
        <f t="shared" si="20"/>
        <v>0.99268072812973862</v>
      </c>
      <c r="G54" s="1049">
        <f t="shared" si="21"/>
        <v>0.12032493674300326</v>
      </c>
      <c r="H54" s="1049">
        <f t="shared" si="22"/>
        <v>1.4584840817334292E-2</v>
      </c>
      <c r="I54" s="1049">
        <f t="shared" si="23"/>
        <v>1.7678594930102855E-3</v>
      </c>
      <c r="J54" s="1049">
        <f t="shared" si="24"/>
        <v>2.1428599915277014E-4</v>
      </c>
      <c r="K54" s="1049">
        <f t="shared" si="25"/>
        <v>2.5974060503367083E-5</v>
      </c>
      <c r="L54" s="1049">
        <f t="shared" si="26"/>
        <v>3.1483709701052224E-6</v>
      </c>
      <c r="M54" s="1049">
        <f t="shared" si="27"/>
        <v>3.8162072364913257E-7</v>
      </c>
      <c r="N54" s="1049">
        <f t="shared" si="28"/>
        <v>4.6257057412017853E-8</v>
      </c>
      <c r="O54" s="1049">
        <f t="shared" si="29"/>
        <v>5.6069160499417746E-9</v>
      </c>
      <c r="P54" s="1063" t="e">
        <f ca="1"/>
        <v>#NAME?</v>
      </c>
      <c r="Q54" s="1049" t="e">
        <f ca="1"/>
        <v>#NAME?</v>
      </c>
      <c r="R54" s="1049" t="e">
        <f ca="1"/>
        <v>#NAME?</v>
      </c>
      <c r="S54" s="1049" t="e">
        <f ca="1"/>
        <v>#NAME?</v>
      </c>
      <c r="T54" s="1049" t="e">
        <f ca="1"/>
        <v>#NAME?</v>
      </c>
      <c r="U54" s="1049" t="e">
        <f ca="1"/>
        <v>#NAME?</v>
      </c>
      <c r="V54" s="1049" t="e">
        <f ca="1"/>
        <v>#NAME?</v>
      </c>
      <c r="W54" s="1049" t="e">
        <f ca="1"/>
        <v>#NAME?</v>
      </c>
      <c r="X54" s="1049" t="e">
        <f ca="1"/>
        <v>#NAME?</v>
      </c>
      <c r="Y54" s="1062" t="e">
        <f ca="1"/>
        <v>#NAME?</v>
      </c>
      <c r="AB54" s="1049"/>
      <c r="AO54" s="1052"/>
    </row>
    <row r="55" spans="1:41" ht="15" customHeight="1" x14ac:dyDescent="0.2">
      <c r="A55" s="1068">
        <v>53</v>
      </c>
      <c r="B55" s="1067">
        <f t="shared" si="30"/>
        <v>2.2000000000000024</v>
      </c>
      <c r="C55" s="1052">
        <f t="shared" si="19"/>
        <v>0.20202020202020682</v>
      </c>
      <c r="D55" s="1066">
        <v>10.33</v>
      </c>
      <c r="E55" s="1065" t="e">
        <f ca="1"/>
        <v>#NAME?</v>
      </c>
      <c r="F55" s="1064">
        <f t="shared" si="20"/>
        <v>0.97980071404471669</v>
      </c>
      <c r="G55" s="1049">
        <f t="shared" si="21"/>
        <v>0.19793953819085655</v>
      </c>
      <c r="H55" s="1049">
        <f t="shared" si="22"/>
        <v>3.9987785493103285E-2</v>
      </c>
      <c r="I55" s="1049">
        <f t="shared" si="23"/>
        <v>8.0783405036574212E-3</v>
      </c>
      <c r="J55" s="1049">
        <f t="shared" si="24"/>
        <v>1.6319879805368916E-3</v>
      </c>
      <c r="K55" s="1049">
        <f t="shared" si="25"/>
        <v>3.2969454152261218E-4</v>
      </c>
      <c r="L55" s="1049">
        <f t="shared" si="26"/>
        <v>6.6604957883357582E-5</v>
      </c>
      <c r="M55" s="1049">
        <f t="shared" si="27"/>
        <v>1.3455547047143267E-5</v>
      </c>
      <c r="N55" s="1049">
        <f t="shared" si="28"/>
        <v>2.7182923327562802E-6</v>
      </c>
      <c r="O55" s="1049">
        <f t="shared" si="29"/>
        <v>5.4914996621340302E-7</v>
      </c>
      <c r="P55" s="1063" t="e">
        <f ca="1"/>
        <v>#NAME?</v>
      </c>
      <c r="Q55" s="1049" t="e">
        <f ca="1"/>
        <v>#NAME?</v>
      </c>
      <c r="R55" s="1049" t="e">
        <f ca="1"/>
        <v>#NAME?</v>
      </c>
      <c r="S55" s="1049" t="e">
        <f ca="1"/>
        <v>#NAME?</v>
      </c>
      <c r="T55" s="1049" t="e">
        <f ca="1"/>
        <v>#NAME?</v>
      </c>
      <c r="U55" s="1049" t="e">
        <f ca="1"/>
        <v>#NAME?</v>
      </c>
      <c r="V55" s="1049" t="e">
        <f ca="1"/>
        <v>#NAME?</v>
      </c>
      <c r="W55" s="1049" t="e">
        <f ca="1"/>
        <v>#NAME?</v>
      </c>
      <c r="X55" s="1049" t="e">
        <f ca="1"/>
        <v>#NAME?</v>
      </c>
      <c r="Y55" s="1062" t="e">
        <f ca="1"/>
        <v>#NAME?</v>
      </c>
      <c r="AB55" s="1049"/>
      <c r="AO55" s="1052"/>
    </row>
    <row r="56" spans="1:41" ht="15" customHeight="1" x14ac:dyDescent="0.2">
      <c r="A56" s="1068">
        <v>54</v>
      </c>
      <c r="B56" s="1067">
        <f t="shared" si="30"/>
        <v>2.3000000000000025</v>
      </c>
      <c r="C56" s="1052">
        <f t="shared" si="19"/>
        <v>0.28282828282828776</v>
      </c>
      <c r="D56" s="1066">
        <v>10.47</v>
      </c>
      <c r="E56" s="1065" t="e">
        <f ca="1"/>
        <v>#NAME?</v>
      </c>
      <c r="F56" s="1064">
        <f t="shared" si="20"/>
        <v>0.96079336034974971</v>
      </c>
      <c r="G56" s="1049">
        <f t="shared" si="21"/>
        <v>0.27173953626053998</v>
      </c>
      <c r="H56" s="1049">
        <f t="shared" si="22"/>
        <v>7.6855626417123776E-2</v>
      </c>
      <c r="I56" s="1049">
        <f t="shared" si="23"/>
        <v>2.1736944845247509E-2</v>
      </c>
      <c r="J56" s="1049">
        <f t="shared" si="24"/>
        <v>6.1478227845145538E-3</v>
      </c>
      <c r="K56" s="1049">
        <f t="shared" si="25"/>
        <v>1.7387781612768739E-3</v>
      </c>
      <c r="L56" s="1049">
        <f t="shared" si="26"/>
        <v>4.9177564157326583E-4</v>
      </c>
      <c r="M56" s="1049">
        <f t="shared" si="27"/>
        <v>1.3908806024294631E-4</v>
      </c>
      <c r="N56" s="1049">
        <f t="shared" si="28"/>
        <v>3.9338037240429946E-5</v>
      </c>
      <c r="O56" s="1049">
        <f t="shared" si="29"/>
        <v>1.1125909522546037E-5</v>
      </c>
      <c r="P56" s="1063" t="e">
        <f ca="1"/>
        <v>#NAME?</v>
      </c>
      <c r="Q56" s="1049" t="e">
        <f ca="1"/>
        <v>#NAME?</v>
      </c>
      <c r="R56" s="1049" t="e">
        <f ca="1"/>
        <v>#NAME?</v>
      </c>
      <c r="S56" s="1049" t="e">
        <f ca="1"/>
        <v>#NAME?</v>
      </c>
      <c r="T56" s="1049" t="e">
        <f ca="1"/>
        <v>#NAME?</v>
      </c>
      <c r="U56" s="1049" t="e">
        <f ca="1"/>
        <v>#NAME?</v>
      </c>
      <c r="V56" s="1049" t="e">
        <f ca="1"/>
        <v>#NAME?</v>
      </c>
      <c r="W56" s="1049" t="e">
        <f ca="1"/>
        <v>#NAME?</v>
      </c>
      <c r="X56" s="1049" t="e">
        <f ca="1"/>
        <v>#NAME?</v>
      </c>
      <c r="Y56" s="1062" t="e">
        <f ca="1"/>
        <v>#NAME?</v>
      </c>
      <c r="AB56" s="1049"/>
      <c r="AO56" s="1052"/>
    </row>
    <row r="57" spans="1:41" ht="15" customHeight="1" x14ac:dyDescent="0.2">
      <c r="A57" s="1068">
        <v>55</v>
      </c>
      <c r="B57" s="1067">
        <f t="shared" si="30"/>
        <v>2.4000000000000026</v>
      </c>
      <c r="C57" s="1052">
        <f t="shared" si="19"/>
        <v>0.3636363636363687</v>
      </c>
      <c r="D57" s="1066">
        <v>9.9400000000000013</v>
      </c>
      <c r="E57" s="1065" t="e">
        <f ca="1"/>
        <v>#NAME?</v>
      </c>
      <c r="F57" s="1064">
        <f t="shared" si="20"/>
        <v>0.93602255789541311</v>
      </c>
      <c r="G57" s="1049">
        <f t="shared" si="21"/>
        <v>0.34037183923470044</v>
      </c>
      <c r="H57" s="1049">
        <f t="shared" si="22"/>
        <v>0.12377157790352913</v>
      </c>
      <c r="I57" s="1049">
        <f t="shared" si="23"/>
        <v>4.5007846510374858E-2</v>
      </c>
      <c r="J57" s="1049">
        <f t="shared" si="24"/>
        <v>1.6366489640136539E-2</v>
      </c>
      <c r="K57" s="1049">
        <f t="shared" si="25"/>
        <v>5.9514507782315509E-3</v>
      </c>
      <c r="L57" s="1049">
        <f t="shared" si="26"/>
        <v>2.1641639193569575E-3</v>
      </c>
      <c r="M57" s="1049">
        <f t="shared" si="27"/>
        <v>7.8696869794799549E-4</v>
      </c>
      <c r="N57" s="1049">
        <f t="shared" si="28"/>
        <v>2.8617043561745691E-4</v>
      </c>
      <c r="O57" s="1049">
        <f t="shared" si="29"/>
        <v>1.0406197658816758E-4</v>
      </c>
      <c r="P57" s="1063" t="e">
        <f ca="1"/>
        <v>#NAME?</v>
      </c>
      <c r="Q57" s="1049" t="e">
        <f ca="1"/>
        <v>#NAME?</v>
      </c>
      <c r="R57" s="1049" t="e">
        <f ca="1"/>
        <v>#NAME?</v>
      </c>
      <c r="S57" s="1049" t="e">
        <f ca="1"/>
        <v>#NAME?</v>
      </c>
      <c r="T57" s="1049" t="e">
        <f ca="1"/>
        <v>#NAME?</v>
      </c>
      <c r="U57" s="1049" t="e">
        <f ca="1"/>
        <v>#NAME?</v>
      </c>
      <c r="V57" s="1049" t="e">
        <f ca="1"/>
        <v>#NAME?</v>
      </c>
      <c r="W57" s="1049" t="e">
        <f ca="1"/>
        <v>#NAME?</v>
      </c>
      <c r="X57" s="1049" t="e">
        <f ca="1"/>
        <v>#NAME?</v>
      </c>
      <c r="Y57" s="1062" t="e">
        <f ca="1"/>
        <v>#NAME?</v>
      </c>
      <c r="AB57" s="1049"/>
      <c r="AO57" s="1052"/>
    </row>
    <row r="58" spans="1:41" ht="15" customHeight="1" x14ac:dyDescent="0.2">
      <c r="A58" s="1068">
        <v>56</v>
      </c>
      <c r="B58" s="1067">
        <f t="shared" si="30"/>
        <v>2.5000000000000027</v>
      </c>
      <c r="C58" s="1052">
        <f t="shared" si="19"/>
        <v>0.44444444444444964</v>
      </c>
      <c r="D58" s="1066">
        <v>9.52</v>
      </c>
      <c r="E58" s="1065" t="e">
        <f ca="1"/>
        <v>#NAME?</v>
      </c>
      <c r="F58" s="1064">
        <f t="shared" si="20"/>
        <v>0.90595519110950751</v>
      </c>
      <c r="G58" s="1049">
        <f t="shared" si="21"/>
        <v>0.40264675160423025</v>
      </c>
      <c r="H58" s="1049">
        <f t="shared" si="22"/>
        <v>0.17895411182410445</v>
      </c>
      <c r="I58" s="1049">
        <f t="shared" si="23"/>
        <v>7.9535160810714003E-2</v>
      </c>
      <c r="J58" s="1049">
        <f t="shared" si="24"/>
        <v>3.5348960360317754E-2</v>
      </c>
      <c r="K58" s="1049">
        <f t="shared" si="25"/>
        <v>1.5710649049030297E-2</v>
      </c>
      <c r="L58" s="1049">
        <f t="shared" si="26"/>
        <v>6.9825106884579911E-3</v>
      </c>
      <c r="M58" s="1049">
        <f t="shared" si="27"/>
        <v>3.103338083759143E-3</v>
      </c>
      <c r="N58" s="1049">
        <f t="shared" si="28"/>
        <v>1.3792613705596356E-3</v>
      </c>
      <c r="O58" s="1049">
        <f t="shared" si="29"/>
        <v>6.130050535820674E-4</v>
      </c>
      <c r="P58" s="1063" t="e">
        <f ca="1"/>
        <v>#NAME?</v>
      </c>
      <c r="Q58" s="1049" t="e">
        <f ca="1"/>
        <v>#NAME?</v>
      </c>
      <c r="R58" s="1049" t="e">
        <f ca="1"/>
        <v>#NAME?</v>
      </c>
      <c r="S58" s="1049" t="e">
        <f ca="1"/>
        <v>#NAME?</v>
      </c>
      <c r="T58" s="1049" t="e">
        <f ca="1"/>
        <v>#NAME?</v>
      </c>
      <c r="U58" s="1049" t="e">
        <f ca="1"/>
        <v>#NAME?</v>
      </c>
      <c r="V58" s="1049" t="e">
        <f ca="1"/>
        <v>#NAME?</v>
      </c>
      <c r="W58" s="1049" t="e">
        <f ca="1"/>
        <v>#NAME?</v>
      </c>
      <c r="X58" s="1049" t="e">
        <f ca="1"/>
        <v>#NAME?</v>
      </c>
      <c r="Y58" s="1062" t="e">
        <f ca="1"/>
        <v>#NAME?</v>
      </c>
      <c r="AB58" s="1049"/>
      <c r="AO58" s="1052"/>
    </row>
    <row r="59" spans="1:41" ht="15" customHeight="1" x14ac:dyDescent="0.2">
      <c r="A59" s="1068">
        <v>57</v>
      </c>
      <c r="B59" s="1067">
        <f t="shared" si="30"/>
        <v>2.6000000000000028</v>
      </c>
      <c r="C59" s="1052">
        <f t="shared" si="19"/>
        <v>0.52525252525253052</v>
      </c>
      <c r="D59" s="1066">
        <v>9.879999999999999</v>
      </c>
      <c r="E59" s="1065" t="e">
        <f ca="1"/>
        <v>#NAME?</v>
      </c>
      <c r="F59" s="1064">
        <f t="shared" si="20"/>
        <v>0.8711465097193779</v>
      </c>
      <c r="G59" s="1049">
        <f t="shared" si="21"/>
        <v>0.45757190409503135</v>
      </c>
      <c r="H59" s="1049">
        <f t="shared" si="22"/>
        <v>0.24034079811052392</v>
      </c>
      <c r="I59" s="1049">
        <f t="shared" si="23"/>
        <v>0.12623961112876128</v>
      </c>
      <c r="J59" s="1049">
        <f t="shared" si="24"/>
        <v>6.6307674532279329E-2</v>
      </c>
      <c r="K59" s="1049">
        <f t="shared" si="25"/>
        <v>3.4828273491702616E-2</v>
      </c>
      <c r="L59" s="1049">
        <f t="shared" si="26"/>
        <v>1.8293638601702571E-2</v>
      </c>
      <c r="M59" s="1049">
        <f t="shared" si="27"/>
        <v>9.6087798716014451E-3</v>
      </c>
      <c r="N59" s="1049">
        <f t="shared" si="28"/>
        <v>5.0470358921543444E-3</v>
      </c>
      <c r="O59" s="1049">
        <f t="shared" si="29"/>
        <v>2.6509683473942276E-3</v>
      </c>
      <c r="P59" s="1063" t="e">
        <f ca="1"/>
        <v>#NAME?</v>
      </c>
      <c r="Q59" s="1049" t="e">
        <f ca="1"/>
        <v>#NAME?</v>
      </c>
      <c r="R59" s="1049" t="e">
        <f ca="1"/>
        <v>#NAME?</v>
      </c>
      <c r="S59" s="1049" t="e">
        <f ca="1"/>
        <v>#NAME?</v>
      </c>
      <c r="T59" s="1049" t="e">
        <f ca="1"/>
        <v>#NAME?</v>
      </c>
      <c r="U59" s="1049" t="e">
        <f ca="1"/>
        <v>#NAME?</v>
      </c>
      <c r="V59" s="1049" t="e">
        <f ca="1"/>
        <v>#NAME?</v>
      </c>
      <c r="W59" s="1049" t="e">
        <f ca="1"/>
        <v>#NAME?</v>
      </c>
      <c r="X59" s="1049" t="e">
        <f ca="1"/>
        <v>#NAME?</v>
      </c>
      <c r="Y59" s="1062" t="e">
        <f ca="1"/>
        <v>#NAME?</v>
      </c>
      <c r="AB59" s="1049"/>
      <c r="AO59" s="1052"/>
    </row>
    <row r="60" spans="1:41" ht="15" customHeight="1" x14ac:dyDescent="0.2">
      <c r="A60" s="1068">
        <v>58</v>
      </c>
      <c r="B60" s="1067">
        <f t="shared" si="30"/>
        <v>2.7000000000000028</v>
      </c>
      <c r="C60" s="1052">
        <f t="shared" si="19"/>
        <v>0.60606060606061152</v>
      </c>
      <c r="D60" s="1066">
        <v>9.07</v>
      </c>
      <c r="E60" s="1065" t="e">
        <f ca="1"/>
        <v>#NAME?</v>
      </c>
      <c r="F60" s="1064">
        <f t="shared" si="20"/>
        <v>0.83222309663675076</v>
      </c>
      <c r="G60" s="1049">
        <f t="shared" si="21"/>
        <v>0.50437763432530802</v>
      </c>
      <c r="H60" s="1049">
        <f t="shared" si="22"/>
        <v>0.30568341474261368</v>
      </c>
      <c r="I60" s="1049">
        <f t="shared" si="23"/>
        <v>0.18526267560158571</v>
      </c>
      <c r="J60" s="1049">
        <f t="shared" si="24"/>
        <v>0.11228040945550753</v>
      </c>
      <c r="K60" s="1049">
        <f t="shared" si="25"/>
        <v>6.804873300333851E-2</v>
      </c>
      <c r="L60" s="1049">
        <f t="shared" si="26"/>
        <v>4.1241656365660073E-2</v>
      </c>
      <c r="M60" s="1049">
        <f t="shared" si="27"/>
        <v>2.4994943251915421E-2</v>
      </c>
      <c r="N60" s="1049">
        <f t="shared" si="28"/>
        <v>1.5148450455706454E-2</v>
      </c>
      <c r="O60" s="1049">
        <f t="shared" si="29"/>
        <v>9.1808790640646003E-3</v>
      </c>
      <c r="P60" s="1063" t="e">
        <f ca="1"/>
        <v>#NAME?</v>
      </c>
      <c r="Q60" s="1049" t="e">
        <f ca="1"/>
        <v>#NAME?</v>
      </c>
      <c r="R60" s="1049" t="e">
        <f ca="1"/>
        <v>#NAME?</v>
      </c>
      <c r="S60" s="1049" t="e">
        <f ca="1"/>
        <v>#NAME?</v>
      </c>
      <c r="T60" s="1049" t="e">
        <f ca="1"/>
        <v>#NAME?</v>
      </c>
      <c r="U60" s="1049" t="e">
        <f ca="1"/>
        <v>#NAME?</v>
      </c>
      <c r="V60" s="1049" t="e">
        <f ca="1"/>
        <v>#NAME?</v>
      </c>
      <c r="W60" s="1049" t="e">
        <f ca="1"/>
        <v>#NAME?</v>
      </c>
      <c r="X60" s="1049" t="e">
        <f ca="1"/>
        <v>#NAME?</v>
      </c>
      <c r="Y60" s="1062" t="e">
        <f ca="1"/>
        <v>#NAME?</v>
      </c>
      <c r="AB60" s="1049"/>
      <c r="AO60" s="1052"/>
    </row>
    <row r="61" spans="1:41" ht="15" customHeight="1" x14ac:dyDescent="0.2">
      <c r="A61" s="1068">
        <v>59</v>
      </c>
      <c r="B61" s="1067">
        <f t="shared" si="30"/>
        <v>2.8000000000000029</v>
      </c>
      <c r="C61" s="1052">
        <f t="shared" si="19"/>
        <v>0.6868686868686924</v>
      </c>
      <c r="D61" s="1066">
        <v>8.57</v>
      </c>
      <c r="E61" s="1065" t="e">
        <f ca="1"/>
        <v>#NAME?</v>
      </c>
      <c r="F61" s="1064">
        <f t="shared" si="20"/>
        <v>0.78986416092634071</v>
      </c>
      <c r="G61" s="1049">
        <f t="shared" si="21"/>
        <v>0.54253295902011722</v>
      </c>
      <c r="H61" s="1049">
        <f t="shared" si="22"/>
        <v>0.37264890114513399</v>
      </c>
      <c r="I61" s="1049">
        <f t="shared" si="23"/>
        <v>0.25596086139261937</v>
      </c>
      <c r="J61" s="1049">
        <f t="shared" si="24"/>
        <v>0.17581150075452781</v>
      </c>
      <c r="K61" s="1049">
        <f t="shared" si="25"/>
        <v>0.12075941465967663</v>
      </c>
      <c r="L61" s="1049">
        <f t="shared" si="26"/>
        <v>8.2945860574324015E-2</v>
      </c>
      <c r="M61" s="1049">
        <f t="shared" si="27"/>
        <v>5.6972914333879583E-2</v>
      </c>
      <c r="N61" s="1049">
        <f t="shared" si="28"/>
        <v>3.9132910855594366E-2</v>
      </c>
      <c r="O61" s="1049">
        <f t="shared" si="29"/>
        <v>2.6879171092731698E-2</v>
      </c>
      <c r="P61" s="1063" t="e">
        <f ca="1"/>
        <v>#NAME?</v>
      </c>
      <c r="Q61" s="1049" t="e">
        <f ca="1"/>
        <v>#NAME?</v>
      </c>
      <c r="R61" s="1049" t="e">
        <f ca="1"/>
        <v>#NAME?</v>
      </c>
      <c r="S61" s="1049" t="e">
        <f ca="1"/>
        <v>#NAME?</v>
      </c>
      <c r="T61" s="1049" t="e">
        <f ca="1"/>
        <v>#NAME?</v>
      </c>
      <c r="U61" s="1049" t="e">
        <f ca="1"/>
        <v>#NAME?</v>
      </c>
      <c r="V61" s="1049" t="e">
        <f ca="1"/>
        <v>#NAME?</v>
      </c>
      <c r="W61" s="1049" t="e">
        <f ca="1"/>
        <v>#NAME?</v>
      </c>
      <c r="X61" s="1049" t="e">
        <f ca="1"/>
        <v>#NAME?</v>
      </c>
      <c r="Y61" s="1062" t="e">
        <f ca="1"/>
        <v>#NAME?</v>
      </c>
      <c r="AB61" s="1049"/>
      <c r="AO61" s="1052"/>
    </row>
    <row r="62" spans="1:41" ht="15" customHeight="1" x14ac:dyDescent="0.2">
      <c r="A62" s="1068">
        <v>60</v>
      </c>
      <c r="B62" s="1067">
        <f t="shared" si="30"/>
        <v>2.900000000000003</v>
      </c>
      <c r="C62" s="1052">
        <f t="shared" si="19"/>
        <v>0.7676767676767734</v>
      </c>
      <c r="D62" s="1066">
        <v>8.66</v>
      </c>
      <c r="E62" s="1065" t="e">
        <f ca="1"/>
        <v>#NAME?</v>
      </c>
      <c r="F62" s="1064">
        <f t="shared" si="20"/>
        <v>0.74478193375741775</v>
      </c>
      <c r="G62" s="1049">
        <f t="shared" si="21"/>
        <v>0.57175178753095124</v>
      </c>
      <c r="H62" s="1049">
        <f t="shared" si="22"/>
        <v>0.43892056416517794</v>
      </c>
      <c r="I62" s="1049">
        <f t="shared" si="23"/>
        <v>0.33694911996518961</v>
      </c>
      <c r="J62" s="1049">
        <f t="shared" si="24"/>
        <v>0.25866801128641015</v>
      </c>
      <c r="K62" s="1049">
        <f t="shared" si="25"/>
        <v>0.19857342280573045</v>
      </c>
      <c r="L62" s="1049">
        <f t="shared" si="26"/>
        <v>0.15244020336601646</v>
      </c>
      <c r="M62" s="1049">
        <f t="shared" si="27"/>
        <v>0.11702480258401349</v>
      </c>
      <c r="N62" s="1049">
        <f t="shared" si="28"/>
        <v>8.9837222185707999E-2</v>
      </c>
      <c r="O62" s="1049">
        <f t="shared" si="29"/>
        <v>6.8965948344584443E-2</v>
      </c>
      <c r="P62" s="1063" t="e">
        <f ca="1"/>
        <v>#NAME?</v>
      </c>
      <c r="Q62" s="1049" t="e">
        <f ca="1"/>
        <v>#NAME?</v>
      </c>
      <c r="R62" s="1049" t="e">
        <f ca="1"/>
        <v>#NAME?</v>
      </c>
      <c r="S62" s="1049" t="e">
        <f ca="1"/>
        <v>#NAME?</v>
      </c>
      <c r="T62" s="1049" t="e">
        <f ca="1"/>
        <v>#NAME?</v>
      </c>
      <c r="U62" s="1049" t="e">
        <f ca="1"/>
        <v>#NAME?</v>
      </c>
      <c r="V62" s="1049" t="e">
        <f ca="1"/>
        <v>#NAME?</v>
      </c>
      <c r="W62" s="1049" t="e">
        <f ca="1"/>
        <v>#NAME?</v>
      </c>
      <c r="X62" s="1049" t="e">
        <f ca="1"/>
        <v>#NAME?</v>
      </c>
      <c r="Y62" s="1062" t="e">
        <f ca="1"/>
        <v>#NAME?</v>
      </c>
      <c r="AB62" s="1049"/>
      <c r="AO62" s="1052"/>
    </row>
    <row r="63" spans="1:41" ht="15" customHeight="1" x14ac:dyDescent="0.2">
      <c r="A63" s="1068">
        <v>61</v>
      </c>
      <c r="B63" s="1067">
        <f t="shared" si="30"/>
        <v>3.0000000000000031</v>
      </c>
      <c r="C63" s="1052">
        <f t="shared" si="19"/>
        <v>0.84848484848485428</v>
      </c>
      <c r="D63" s="1066">
        <v>8.08</v>
      </c>
      <c r="E63" s="1065" t="e">
        <f ca="1"/>
        <v>#NAME?</v>
      </c>
      <c r="F63" s="1064">
        <f t="shared" si="20"/>
        <v>0.69770195285300685</v>
      </c>
      <c r="G63" s="1049">
        <f t="shared" si="21"/>
        <v>0.59198953575407043</v>
      </c>
      <c r="H63" s="1049">
        <f t="shared" si="22"/>
        <v>0.50229415154891177</v>
      </c>
      <c r="I63" s="1049">
        <f t="shared" si="23"/>
        <v>0.42618897707180681</v>
      </c>
      <c r="J63" s="1049">
        <f t="shared" si="24"/>
        <v>0.36161488963668703</v>
      </c>
      <c r="K63" s="1049">
        <f t="shared" si="25"/>
        <v>0.30682475484325172</v>
      </c>
      <c r="L63" s="1049">
        <f t="shared" si="26"/>
        <v>0.26033615562457901</v>
      </c>
      <c r="M63" s="1049">
        <f t="shared" si="27"/>
        <v>0.22089128356025037</v>
      </c>
      <c r="N63" s="1049">
        <f t="shared" si="28"/>
        <v>0.18742290726324398</v>
      </c>
      <c r="O63" s="1049">
        <f t="shared" si="29"/>
        <v>0.15902549707184446</v>
      </c>
      <c r="P63" s="1063" t="e">
        <f ca="1"/>
        <v>#NAME?</v>
      </c>
      <c r="Q63" s="1049" t="e">
        <f ca="1"/>
        <v>#NAME?</v>
      </c>
      <c r="R63" s="1049" t="e">
        <f ca="1"/>
        <v>#NAME?</v>
      </c>
      <c r="S63" s="1049" t="e">
        <f ca="1"/>
        <v>#NAME?</v>
      </c>
      <c r="T63" s="1049" t="e">
        <f ca="1"/>
        <v>#NAME?</v>
      </c>
      <c r="U63" s="1049" t="e">
        <f ca="1"/>
        <v>#NAME?</v>
      </c>
      <c r="V63" s="1049" t="e">
        <f ca="1"/>
        <v>#NAME?</v>
      </c>
      <c r="W63" s="1049" t="e">
        <f ca="1"/>
        <v>#NAME?</v>
      </c>
      <c r="X63" s="1049" t="e">
        <f ca="1"/>
        <v>#NAME?</v>
      </c>
      <c r="Y63" s="1062" t="e">
        <f ca="1"/>
        <v>#NAME?</v>
      </c>
      <c r="AB63" s="1049"/>
      <c r="AO63" s="1052"/>
    </row>
    <row r="64" spans="1:41" ht="15" customHeight="1" x14ac:dyDescent="0.2">
      <c r="A64" s="1068">
        <v>62</v>
      </c>
      <c r="B64" s="1067">
        <f t="shared" si="30"/>
        <v>3.1000000000000032</v>
      </c>
      <c r="C64" s="1052">
        <f t="shared" si="19"/>
        <v>0.92929292929293528</v>
      </c>
      <c r="D64" s="1066">
        <v>8.2099999999999991</v>
      </c>
      <c r="E64" s="1065" t="e">
        <f ca="1"/>
        <v>#NAME?</v>
      </c>
      <c r="F64" s="1064">
        <f t="shared" si="20"/>
        <v>0.64934398848131591</v>
      </c>
      <c r="G64" s="1049">
        <f t="shared" si="21"/>
        <v>0.60343077717456006</v>
      </c>
      <c r="H64" s="1049">
        <f t="shared" si="22"/>
        <v>0.56076395454605943</v>
      </c>
      <c r="I64" s="1049">
        <f t="shared" si="23"/>
        <v>0.52111397796199799</v>
      </c>
      <c r="J64" s="1049">
        <f t="shared" si="24"/>
        <v>0.48426753507579923</v>
      </c>
      <c r="K64" s="1049">
        <f t="shared" si="25"/>
        <v>0.45002639623205876</v>
      </c>
      <c r="L64" s="1049">
        <f t="shared" si="26"/>
        <v>0.41820634801363299</v>
      </c>
      <c r="M64" s="1049">
        <f t="shared" si="27"/>
        <v>0.3886362021944898</v>
      </c>
      <c r="N64" s="1049">
        <f t="shared" si="28"/>
        <v>0.36115687476659886</v>
      </c>
      <c r="O64" s="1049">
        <f t="shared" si="29"/>
        <v>0.33562053008613441</v>
      </c>
      <c r="P64" s="1063" t="e">
        <f ca="1"/>
        <v>#NAME?</v>
      </c>
      <c r="Q64" s="1049" t="e">
        <f ca="1"/>
        <v>#NAME?</v>
      </c>
      <c r="R64" s="1049" t="e">
        <f ca="1"/>
        <v>#NAME?</v>
      </c>
      <c r="S64" s="1049" t="e">
        <f ca="1"/>
        <v>#NAME?</v>
      </c>
      <c r="T64" s="1049" t="e">
        <f ca="1"/>
        <v>#NAME?</v>
      </c>
      <c r="U64" s="1049" t="e">
        <f ca="1"/>
        <v>#NAME?</v>
      </c>
      <c r="V64" s="1049" t="e">
        <f ca="1"/>
        <v>#NAME?</v>
      </c>
      <c r="W64" s="1049" t="e">
        <f ca="1"/>
        <v>#NAME?</v>
      </c>
      <c r="X64" s="1049" t="e">
        <f ca="1"/>
        <v>#NAME?</v>
      </c>
      <c r="Y64" s="1062" t="e">
        <f ca="1"/>
        <v>#NAME?</v>
      </c>
      <c r="AB64" s="1049"/>
      <c r="AO64" s="1052"/>
    </row>
    <row r="65" spans="1:41" ht="15" customHeight="1" x14ac:dyDescent="0.2">
      <c r="A65" s="1068">
        <v>63</v>
      </c>
      <c r="B65" s="1067">
        <f t="shared" si="30"/>
        <v>3.2000000000000033</v>
      </c>
      <c r="C65" s="1052">
        <f t="shared" si="19"/>
        <v>1.0101010101010162</v>
      </c>
      <c r="D65" s="1066">
        <v>7.31</v>
      </c>
      <c r="E65" s="1065" t="e">
        <f ca="1"/>
        <v>#NAME?</v>
      </c>
      <c r="F65" s="1064">
        <f t="shared" si="20"/>
        <v>0.60040429522850169</v>
      </c>
      <c r="G65" s="1049">
        <f t="shared" si="21"/>
        <v>0.60646898507929825</v>
      </c>
      <c r="H65" s="1049">
        <f t="shared" si="22"/>
        <v>0.61259493442353719</v>
      </c>
      <c r="I65" s="1049">
        <f t="shared" si="23"/>
        <v>0.61878276204398075</v>
      </c>
      <c r="J65" s="1049">
        <f t="shared" si="24"/>
        <v>0.62503309297372156</v>
      </c>
      <c r="K65" s="1049">
        <f t="shared" si="25"/>
        <v>0.63134655855931854</v>
      </c>
      <c r="L65" s="1049">
        <f t="shared" si="26"/>
        <v>0.63772379652456801</v>
      </c>
      <c r="M65" s="1049">
        <f t="shared" si="27"/>
        <v>0.64416545103492096</v>
      </c>
      <c r="N65" s="1049">
        <f t="shared" si="28"/>
        <v>0.65067217276255029</v>
      </c>
      <c r="O65" s="1049">
        <f t="shared" si="29"/>
        <v>0.65724461895207498</v>
      </c>
      <c r="P65" s="1063" t="e">
        <f ca="1"/>
        <v>#NAME?</v>
      </c>
      <c r="Q65" s="1049" t="e">
        <f ca="1"/>
        <v>#NAME?</v>
      </c>
      <c r="R65" s="1049" t="e">
        <f ca="1"/>
        <v>#NAME?</v>
      </c>
      <c r="S65" s="1049" t="e">
        <f ca="1"/>
        <v>#NAME?</v>
      </c>
      <c r="T65" s="1049" t="e">
        <f ca="1"/>
        <v>#NAME?</v>
      </c>
      <c r="U65" s="1049" t="e">
        <f ca="1"/>
        <v>#NAME?</v>
      </c>
      <c r="V65" s="1049" t="e">
        <f ca="1"/>
        <v>#NAME?</v>
      </c>
      <c r="W65" s="1049" t="e">
        <f ca="1"/>
        <v>#NAME?</v>
      </c>
      <c r="X65" s="1049" t="e">
        <f ca="1"/>
        <v>#NAME?</v>
      </c>
      <c r="Y65" s="1062" t="e">
        <f ca="1"/>
        <v>#NAME?</v>
      </c>
      <c r="AB65" s="1049"/>
      <c r="AO65" s="1052"/>
    </row>
    <row r="66" spans="1:41" ht="15" customHeight="1" x14ac:dyDescent="0.2">
      <c r="A66" s="1068">
        <v>64</v>
      </c>
      <c r="B66" s="1067">
        <f t="shared" si="30"/>
        <v>3.3000000000000034</v>
      </c>
      <c r="C66" s="1052">
        <f t="shared" si="19"/>
        <v>1.090909090909097</v>
      </c>
      <c r="D66" s="1066">
        <v>6.74</v>
      </c>
      <c r="E66" s="1065" t="e">
        <f ca="1"/>
        <v>#NAME?</v>
      </c>
      <c r="F66" s="1064">
        <f t="shared" si="20"/>
        <v>0.55153977449716063</v>
      </c>
      <c r="G66" s="1049">
        <f t="shared" si="21"/>
        <v>0.60167975399690588</v>
      </c>
      <c r="H66" s="1049">
        <f t="shared" si="22"/>
        <v>0.65637791345117369</v>
      </c>
      <c r="I66" s="1049">
        <f t="shared" si="23"/>
        <v>0.71604863285582987</v>
      </c>
      <c r="J66" s="1049">
        <f t="shared" si="24"/>
        <v>0.7811439631154552</v>
      </c>
      <c r="K66" s="1049">
        <f t="shared" si="25"/>
        <v>0.85215705067141057</v>
      </c>
      <c r="L66" s="1049">
        <f t="shared" si="26"/>
        <v>0.9296258734597258</v>
      </c>
      <c r="M66" s="1049">
        <f t="shared" si="27"/>
        <v>1.0141373165015246</v>
      </c>
      <c r="N66" s="1049">
        <f t="shared" si="28"/>
        <v>1.1063316180016696</v>
      </c>
      <c r="O66" s="1049">
        <f t="shared" si="29"/>
        <v>1.2069072196381918</v>
      </c>
      <c r="P66" s="1063" t="e">
        <f ca="1"/>
        <v>#NAME?</v>
      </c>
      <c r="Q66" s="1049" t="e">
        <f ca="1"/>
        <v>#NAME?</v>
      </c>
      <c r="R66" s="1049" t="e">
        <f ca="1"/>
        <v>#NAME?</v>
      </c>
      <c r="S66" s="1049" t="e">
        <f ca="1"/>
        <v>#NAME?</v>
      </c>
      <c r="T66" s="1049" t="e">
        <f ca="1"/>
        <v>#NAME?</v>
      </c>
      <c r="U66" s="1049" t="e">
        <f ca="1"/>
        <v>#NAME?</v>
      </c>
      <c r="V66" s="1049" t="e">
        <f ca="1"/>
        <v>#NAME?</v>
      </c>
      <c r="W66" s="1049" t="e">
        <f ca="1"/>
        <v>#NAME?</v>
      </c>
      <c r="X66" s="1049" t="e">
        <f ca="1"/>
        <v>#NAME?</v>
      </c>
      <c r="Y66" s="1062" t="e">
        <f ca="1"/>
        <v>#NAME?</v>
      </c>
      <c r="AB66" s="1049"/>
      <c r="AO66" s="1052"/>
    </row>
    <row r="67" spans="1:41" ht="15" customHeight="1" x14ac:dyDescent="0.2">
      <c r="A67" s="1068">
        <v>65</v>
      </c>
      <c r="B67" s="1067">
        <f t="shared" si="30"/>
        <v>3.4000000000000035</v>
      </c>
      <c r="C67" s="1052">
        <f t="shared" ref="C67:C98" si="35">(B67-B$103)/B$104*E$104</f>
        <v>1.1717171717171782</v>
      </c>
      <c r="D67" s="1066">
        <v>6.35</v>
      </c>
      <c r="E67" s="1065" t="e">
        <f ca="1"/>
        <v>#NAME?</v>
      </c>
      <c r="F67" s="1064">
        <f t="shared" ref="F67:F102" si="36">EXP(-(C67^2)/2)</f>
        <v>0.50335451031720424</v>
      </c>
      <c r="G67" s="1049">
        <f t="shared" ref="G67:G102" si="37">$F67*$C67</f>
        <v>0.58978912319995969</v>
      </c>
      <c r="H67" s="1049">
        <f t="shared" ref="H67:H102" si="38">$F67*$C67^2</f>
        <v>0.69106604334541111</v>
      </c>
      <c r="I67" s="1049">
        <f t="shared" ref="I67:I102" si="39">$F67*$C67^3</f>
        <v>0.80973394977846602</v>
      </c>
      <c r="J67" s="1049">
        <f t="shared" ref="J67:J102" si="40">$F67*$C67^4</f>
        <v>0.94877917347780372</v>
      </c>
      <c r="K67" s="1049">
        <f t="shared" ref="K67:K102" si="41">$F67*$C67^5</f>
        <v>1.1117008497315741</v>
      </c>
      <c r="L67" s="1049">
        <f t="shared" ref="L67:L102" si="42">$F67*$C67^6</f>
        <v>1.3025989754430638</v>
      </c>
      <c r="M67" s="1049">
        <f t="shared" ref="M67:M102" si="43">$F67*$C67^7</f>
        <v>1.5262775873878405</v>
      </c>
      <c r="N67" s="1049">
        <f t="shared" ref="N67:N102" si="44">$F67*$C67^8</f>
        <v>1.7883656579493987</v>
      </c>
      <c r="O67" s="1049">
        <f t="shared" ref="O67:O102" si="45">$F67*$C67^9</f>
        <v>2.0954587507286</v>
      </c>
      <c r="P67" s="1063" t="e">
        <f ca="1"/>
        <v>#NAME?</v>
      </c>
      <c r="Q67" s="1049" t="e">
        <f ca="1"/>
        <v>#NAME?</v>
      </c>
      <c r="R67" s="1049" t="e">
        <f ca="1"/>
        <v>#NAME?</v>
      </c>
      <c r="S67" s="1049" t="e">
        <f ca="1"/>
        <v>#NAME?</v>
      </c>
      <c r="T67" s="1049" t="e">
        <f ca="1"/>
        <v>#NAME?</v>
      </c>
      <c r="U67" s="1049" t="e">
        <f ca="1"/>
        <v>#NAME?</v>
      </c>
      <c r="V67" s="1049" t="e">
        <f ca="1"/>
        <v>#NAME?</v>
      </c>
      <c r="W67" s="1049" t="e">
        <f ca="1"/>
        <v>#NAME?</v>
      </c>
      <c r="X67" s="1049" t="e">
        <f ca="1"/>
        <v>#NAME?</v>
      </c>
      <c r="Y67" s="1062" t="e">
        <f ca="1"/>
        <v>#NAME?</v>
      </c>
      <c r="AB67" s="1049"/>
      <c r="AO67" s="1052"/>
    </row>
    <row r="68" spans="1:41" ht="15" customHeight="1" x14ac:dyDescent="0.2">
      <c r="A68" s="1068">
        <v>66</v>
      </c>
      <c r="B68" s="1067">
        <f t="shared" ref="B68:B102" si="46">B67+0.1</f>
        <v>3.5000000000000036</v>
      </c>
      <c r="C68" s="1052">
        <f t="shared" si="35"/>
        <v>1.252525252525259</v>
      </c>
      <c r="D68" s="1066">
        <v>5.65</v>
      </c>
      <c r="E68" s="1065" t="e">
        <f ca="1"/>
        <v>#NAME?</v>
      </c>
      <c r="F68" s="1064">
        <f t="shared" si="36"/>
        <v>0.45638900403591198</v>
      </c>
      <c r="G68" s="1049">
        <f t="shared" si="37"/>
        <v>0.57163875252983209</v>
      </c>
      <c r="H68" s="1049">
        <f t="shared" si="38"/>
        <v>0.71599197286565208</v>
      </c>
      <c r="I68" s="1049">
        <f t="shared" si="39"/>
        <v>0.89679802661960928</v>
      </c>
      <c r="J68" s="1049">
        <f t="shared" si="40"/>
        <v>1.1232621747558802</v>
      </c>
      <c r="K68" s="1049">
        <f t="shared" si="41"/>
        <v>1.4069142390881804</v>
      </c>
      <c r="L68" s="1049">
        <f t="shared" si="42"/>
        <v>1.7621956125953058</v>
      </c>
      <c r="M68" s="1049">
        <f t="shared" si="43"/>
        <v>2.2071945046648387</v>
      </c>
      <c r="N68" s="1049">
        <f t="shared" si="44"/>
        <v>2.7645668543276916</v>
      </c>
      <c r="O68" s="1049">
        <f t="shared" si="45"/>
        <v>3.462689797339753</v>
      </c>
      <c r="P68" s="1063" t="e">
        <f ca="1"/>
        <v>#NAME?</v>
      </c>
      <c r="Q68" s="1049" t="e">
        <f ca="1"/>
        <v>#NAME?</v>
      </c>
      <c r="R68" s="1049" t="e">
        <f ca="1"/>
        <v>#NAME?</v>
      </c>
      <c r="S68" s="1049" t="e">
        <f ca="1"/>
        <v>#NAME?</v>
      </c>
      <c r="T68" s="1049" t="e">
        <f ca="1"/>
        <v>#NAME?</v>
      </c>
      <c r="U68" s="1049" t="e">
        <f ca="1"/>
        <v>#NAME?</v>
      </c>
      <c r="V68" s="1049" t="e">
        <f ca="1"/>
        <v>#NAME?</v>
      </c>
      <c r="W68" s="1049" t="e">
        <f ca="1"/>
        <v>#NAME?</v>
      </c>
      <c r="X68" s="1049" t="e">
        <f ca="1"/>
        <v>#NAME?</v>
      </c>
      <c r="Y68" s="1062" t="e">
        <f ca="1"/>
        <v>#NAME?</v>
      </c>
      <c r="AB68" s="1049"/>
      <c r="AO68" s="1052"/>
    </row>
    <row r="69" spans="1:41" ht="15" customHeight="1" x14ac:dyDescent="0.2">
      <c r="A69" s="1068">
        <v>67</v>
      </c>
      <c r="B69" s="1067">
        <f t="shared" si="46"/>
        <v>3.6000000000000036</v>
      </c>
      <c r="C69" s="1052">
        <f t="shared" si="35"/>
        <v>1.3333333333333399</v>
      </c>
      <c r="D69" s="1066">
        <v>5.17</v>
      </c>
      <c r="E69" s="1065" t="e">
        <f ca="1"/>
        <v>#NAME?</v>
      </c>
      <c r="F69" s="1064">
        <f t="shared" si="36"/>
        <v>0.41111229050718379</v>
      </c>
      <c r="G69" s="1049">
        <f t="shared" si="37"/>
        <v>0.54814972067624779</v>
      </c>
      <c r="H69" s="1049">
        <f t="shared" si="38"/>
        <v>0.73086629423500071</v>
      </c>
      <c r="I69" s="1049">
        <f t="shared" si="39"/>
        <v>0.97448839231333906</v>
      </c>
      <c r="J69" s="1049">
        <f t="shared" si="40"/>
        <v>1.2993178564177918</v>
      </c>
      <c r="K69" s="1049">
        <f t="shared" si="41"/>
        <v>1.7324238085570642</v>
      </c>
      <c r="L69" s="1049">
        <f t="shared" si="42"/>
        <v>2.3098984114094305</v>
      </c>
      <c r="M69" s="1049">
        <f t="shared" si="43"/>
        <v>3.0798645485459231</v>
      </c>
      <c r="N69" s="1049">
        <f t="shared" si="44"/>
        <v>4.1064860647279184</v>
      </c>
      <c r="O69" s="1049">
        <f t="shared" si="45"/>
        <v>5.4753147529705846</v>
      </c>
      <c r="P69" s="1063" t="e">
        <f ca="1"/>
        <v>#NAME?</v>
      </c>
      <c r="Q69" s="1049" t="e">
        <f ca="1"/>
        <v>#NAME?</v>
      </c>
      <c r="R69" s="1049" t="e">
        <f ca="1"/>
        <v>#NAME?</v>
      </c>
      <c r="S69" s="1049" t="e">
        <f ca="1"/>
        <v>#NAME?</v>
      </c>
      <c r="T69" s="1049" t="e">
        <f ca="1"/>
        <v>#NAME?</v>
      </c>
      <c r="U69" s="1049" t="e">
        <f ca="1"/>
        <v>#NAME?</v>
      </c>
      <c r="V69" s="1049" t="e">
        <f ca="1"/>
        <v>#NAME?</v>
      </c>
      <c r="W69" s="1049" t="e">
        <f ca="1"/>
        <v>#NAME?</v>
      </c>
      <c r="X69" s="1049" t="e">
        <f ca="1"/>
        <v>#NAME?</v>
      </c>
      <c r="Y69" s="1062" t="e">
        <f ca="1"/>
        <v>#NAME?</v>
      </c>
      <c r="AB69" s="1049"/>
      <c r="AO69" s="1052"/>
    </row>
    <row r="70" spans="1:41" ht="15" customHeight="1" x14ac:dyDescent="0.2">
      <c r="A70" s="1068">
        <v>68</v>
      </c>
      <c r="B70" s="1067">
        <f t="shared" si="46"/>
        <v>3.7000000000000037</v>
      </c>
      <c r="C70" s="1052">
        <f t="shared" si="35"/>
        <v>1.4141414141414208</v>
      </c>
      <c r="D70" s="1066">
        <v>4.9000000000000004</v>
      </c>
      <c r="E70" s="1065" t="e">
        <f ca="1"/>
        <v>#NAME?</v>
      </c>
      <c r="F70" s="1064">
        <f t="shared" si="36"/>
        <v>0.36791697797475015</v>
      </c>
      <c r="G70" s="1049">
        <f t="shared" si="37"/>
        <v>0.5202866355198511</v>
      </c>
      <c r="H70" s="1049">
        <f t="shared" si="38"/>
        <v>0.73575887851292432</v>
      </c>
      <c r="I70" s="1049">
        <f t="shared" si="39"/>
        <v>1.0404671009273725</v>
      </c>
      <c r="J70" s="1049">
        <f t="shared" si="40"/>
        <v>1.471367617473059</v>
      </c>
      <c r="K70" s="1049">
        <f t="shared" si="41"/>
        <v>2.080721883295245</v>
      </c>
      <c r="L70" s="1049">
        <f t="shared" si="42"/>
        <v>2.9424349864781378</v>
      </c>
      <c r="M70" s="1049">
        <f t="shared" si="43"/>
        <v>4.1610191727973858</v>
      </c>
      <c r="N70" s="1049">
        <f t="shared" si="44"/>
        <v>5.8842695372892608</v>
      </c>
      <c r="O70" s="1049">
        <f t="shared" si="45"/>
        <v>8.321189244651519</v>
      </c>
      <c r="P70" s="1063" t="e">
        <f ca="1"/>
        <v>#NAME?</v>
      </c>
      <c r="Q70" s="1049" t="e">
        <f ca="1"/>
        <v>#NAME?</v>
      </c>
      <c r="R70" s="1049" t="e">
        <f ca="1"/>
        <v>#NAME?</v>
      </c>
      <c r="S70" s="1049" t="e">
        <f ca="1"/>
        <v>#NAME?</v>
      </c>
      <c r="T70" s="1049" t="e">
        <f ca="1"/>
        <v>#NAME?</v>
      </c>
      <c r="U70" s="1049" t="e">
        <f ca="1"/>
        <v>#NAME?</v>
      </c>
      <c r="V70" s="1049" t="e">
        <f ca="1"/>
        <v>#NAME?</v>
      </c>
      <c r="W70" s="1049" t="e">
        <f ca="1"/>
        <v>#NAME?</v>
      </c>
      <c r="X70" s="1049" t="e">
        <f ca="1"/>
        <v>#NAME?</v>
      </c>
      <c r="Y70" s="1062" t="e">
        <f ca="1"/>
        <v>#NAME?</v>
      </c>
      <c r="AB70" s="1049"/>
      <c r="AO70" s="1052"/>
    </row>
    <row r="71" spans="1:41" ht="15" customHeight="1" x14ac:dyDescent="0.2">
      <c r="A71" s="1068">
        <v>69</v>
      </c>
      <c r="B71" s="1067">
        <f t="shared" si="46"/>
        <v>3.8000000000000038</v>
      </c>
      <c r="C71" s="1052">
        <f t="shared" si="35"/>
        <v>1.4949494949495017</v>
      </c>
      <c r="D71" s="1066">
        <v>5.21</v>
      </c>
      <c r="E71" s="1065" t="e">
        <f ca="1"/>
        <v>#NAME?</v>
      </c>
      <c r="F71" s="1064">
        <f t="shared" si="36"/>
        <v>0.32711712354863376</v>
      </c>
      <c r="G71" s="1049">
        <f t="shared" si="37"/>
        <v>0.48902357863836377</v>
      </c>
      <c r="H71" s="1049">
        <f t="shared" si="38"/>
        <v>0.73106555190381983</v>
      </c>
      <c r="I71" s="1049">
        <f t="shared" si="39"/>
        <v>1.0929060775935944</v>
      </c>
      <c r="J71" s="1049">
        <f t="shared" si="40"/>
        <v>1.6338393887257845</v>
      </c>
      <c r="K71" s="1049">
        <f t="shared" si="41"/>
        <v>2.4425073690042143</v>
      </c>
      <c r="L71" s="1049">
        <f t="shared" si="42"/>
        <v>3.6514251577032861</v>
      </c>
      <c r="M71" s="1049">
        <f t="shared" si="43"/>
        <v>5.4586961953544328</v>
      </c>
      <c r="N71" s="1049">
        <f t="shared" si="44"/>
        <v>8.1604751203278756</v>
      </c>
      <c r="O71" s="1049">
        <f t="shared" si="45"/>
        <v>12.199498159682131</v>
      </c>
      <c r="P71" s="1063" t="e">
        <f ca="1"/>
        <v>#NAME?</v>
      </c>
      <c r="Q71" s="1049" t="e">
        <f ca="1"/>
        <v>#NAME?</v>
      </c>
      <c r="R71" s="1049" t="e">
        <f ca="1"/>
        <v>#NAME?</v>
      </c>
      <c r="S71" s="1049" t="e">
        <f ca="1"/>
        <v>#NAME?</v>
      </c>
      <c r="T71" s="1049" t="e">
        <f ca="1"/>
        <v>#NAME?</v>
      </c>
      <c r="U71" s="1049" t="e">
        <f ca="1"/>
        <v>#NAME?</v>
      </c>
      <c r="V71" s="1049" t="e">
        <f ca="1"/>
        <v>#NAME?</v>
      </c>
      <c r="W71" s="1049" t="e">
        <f ca="1"/>
        <v>#NAME?</v>
      </c>
      <c r="X71" s="1049" t="e">
        <f ca="1"/>
        <v>#NAME?</v>
      </c>
      <c r="Y71" s="1062" t="e">
        <f ca="1"/>
        <v>#NAME?</v>
      </c>
      <c r="AB71" s="1049"/>
      <c r="AO71" s="1052"/>
    </row>
    <row r="72" spans="1:41" ht="15" customHeight="1" x14ac:dyDescent="0.2">
      <c r="A72" s="1068">
        <v>70</v>
      </c>
      <c r="B72" s="1067">
        <f t="shared" si="46"/>
        <v>3.9000000000000039</v>
      </c>
      <c r="C72" s="1052">
        <f t="shared" si="35"/>
        <v>1.5757575757575828</v>
      </c>
      <c r="D72" s="1066">
        <v>4.5999999999999996</v>
      </c>
      <c r="E72" s="1065" t="e">
        <f ca="1"/>
        <v>#NAME?</v>
      </c>
      <c r="F72" s="1064">
        <f t="shared" si="36"/>
        <v>0.28894874233042189</v>
      </c>
      <c r="G72" s="1049">
        <f t="shared" si="37"/>
        <v>0.45531316973278807</v>
      </c>
      <c r="H72" s="1049">
        <f t="shared" si="38"/>
        <v>0.71746317654863889</v>
      </c>
      <c r="I72" s="1049">
        <f t="shared" si="39"/>
        <v>1.130548035773618</v>
      </c>
      <c r="J72" s="1049">
        <f t="shared" si="40"/>
        <v>1.7814696321281331</v>
      </c>
      <c r="K72" s="1049">
        <f t="shared" si="41"/>
        <v>2.8071642688079796</v>
      </c>
      <c r="L72" s="1049">
        <f t="shared" si="42"/>
        <v>4.42341036297017</v>
      </c>
      <c r="M72" s="1049">
        <f t="shared" si="43"/>
        <v>6.970222390134845</v>
      </c>
      <c r="N72" s="1049">
        <f t="shared" si="44"/>
        <v>10.983380735970107</v>
      </c>
      <c r="O72" s="1049">
        <f t="shared" si="45"/>
        <v>17.30714540213479</v>
      </c>
      <c r="P72" s="1063" t="e">
        <f ca="1"/>
        <v>#NAME?</v>
      </c>
      <c r="Q72" s="1049" t="e">
        <f ca="1"/>
        <v>#NAME?</v>
      </c>
      <c r="R72" s="1049" t="e">
        <f ca="1"/>
        <v>#NAME?</v>
      </c>
      <c r="S72" s="1049" t="e">
        <f ca="1"/>
        <v>#NAME?</v>
      </c>
      <c r="T72" s="1049" t="e">
        <f ca="1"/>
        <v>#NAME?</v>
      </c>
      <c r="U72" s="1049" t="e">
        <f ca="1"/>
        <v>#NAME?</v>
      </c>
      <c r="V72" s="1049" t="e">
        <f ca="1"/>
        <v>#NAME?</v>
      </c>
      <c r="W72" s="1049" t="e">
        <f ca="1"/>
        <v>#NAME?</v>
      </c>
      <c r="X72" s="1049" t="e">
        <f ca="1"/>
        <v>#NAME?</v>
      </c>
      <c r="Y72" s="1062" t="e">
        <f ca="1"/>
        <v>#NAME?</v>
      </c>
      <c r="AB72" s="1049"/>
      <c r="AO72" s="1052"/>
    </row>
    <row r="73" spans="1:41" ht="15" customHeight="1" x14ac:dyDescent="0.2">
      <c r="A73" s="1068">
        <v>71</v>
      </c>
      <c r="B73" s="1067">
        <f t="shared" si="46"/>
        <v>4.0000000000000036</v>
      </c>
      <c r="C73" s="1052">
        <f t="shared" si="35"/>
        <v>1.6565656565656632</v>
      </c>
      <c r="D73" s="1066">
        <v>4.0299999999999994</v>
      </c>
      <c r="E73" s="1065" t="e">
        <f ca="1"/>
        <v>#NAME?</v>
      </c>
      <c r="F73" s="1064">
        <f t="shared" si="36"/>
        <v>0.25357265557396141</v>
      </c>
      <c r="G73" s="1049">
        <f t="shared" si="37"/>
        <v>0.42005975266797818</v>
      </c>
      <c r="H73" s="1049">
        <f t="shared" si="38"/>
        <v>0.69585655997523932</v>
      </c>
      <c r="I73" s="1049">
        <f t="shared" si="39"/>
        <v>1.1527320791509061</v>
      </c>
      <c r="J73" s="1049">
        <f t="shared" si="40"/>
        <v>1.909576373542923</v>
      </c>
      <c r="K73" s="1049">
        <f t="shared" si="41"/>
        <v>3.1633386390004103</v>
      </c>
      <c r="L73" s="1049">
        <f t="shared" si="42"/>
        <v>5.2402781494552464</v>
      </c>
      <c r="M73" s="1049">
        <f t="shared" si="43"/>
        <v>8.6808648132390296</v>
      </c>
      <c r="N73" s="1049">
        <f t="shared" si="44"/>
        <v>14.380422518901076</v>
      </c>
      <c r="O73" s="1049">
        <f t="shared" si="45"/>
        <v>23.82211407171501</v>
      </c>
      <c r="P73" s="1063" t="e">
        <f ca="1"/>
        <v>#NAME?</v>
      </c>
      <c r="Q73" s="1049" t="e">
        <f ca="1"/>
        <v>#NAME?</v>
      </c>
      <c r="R73" s="1049" t="e">
        <f ca="1"/>
        <v>#NAME?</v>
      </c>
      <c r="S73" s="1049" t="e">
        <f ca="1"/>
        <v>#NAME?</v>
      </c>
      <c r="T73" s="1049" t="e">
        <f ca="1"/>
        <v>#NAME?</v>
      </c>
      <c r="U73" s="1049" t="e">
        <f ca="1"/>
        <v>#NAME?</v>
      </c>
      <c r="V73" s="1049" t="e">
        <f ca="1"/>
        <v>#NAME?</v>
      </c>
      <c r="W73" s="1049" t="e">
        <f ca="1"/>
        <v>#NAME?</v>
      </c>
      <c r="X73" s="1049" t="e">
        <f ca="1"/>
        <v>#NAME?</v>
      </c>
      <c r="Y73" s="1062" t="e">
        <f ca="1"/>
        <v>#NAME?</v>
      </c>
      <c r="AO73" s="1052"/>
    </row>
    <row r="74" spans="1:41" ht="15" customHeight="1" x14ac:dyDescent="0.2">
      <c r="A74" s="1068">
        <v>72</v>
      </c>
      <c r="B74" s="1067">
        <f t="shared" si="46"/>
        <v>4.1000000000000032</v>
      </c>
      <c r="C74" s="1052">
        <f t="shared" si="35"/>
        <v>1.7373737373737439</v>
      </c>
      <c r="D74" s="1066">
        <v>3.8899999999999997</v>
      </c>
      <c r="E74" s="1065" t="e">
        <f ca="1"/>
        <v>#NAME?</v>
      </c>
      <c r="F74" s="1064">
        <f t="shared" si="36"/>
        <v>0.2210793147324451</v>
      </c>
      <c r="G74" s="1049">
        <f t="shared" si="37"/>
        <v>0.38409739529273434</v>
      </c>
      <c r="H74" s="1049">
        <f t="shared" si="38"/>
        <v>0.66732072717525814</v>
      </c>
      <c r="I74" s="1049">
        <f t="shared" si="39"/>
        <v>1.1593855057994429</v>
      </c>
      <c r="J74" s="1049">
        <f t="shared" si="40"/>
        <v>2.0142859292677264</v>
      </c>
      <c r="K74" s="1049">
        <f t="shared" si="41"/>
        <v>3.4995674730712141</v>
      </c>
      <c r="L74" s="1049">
        <f t="shared" si="42"/>
        <v>6.0800566198813248</v>
      </c>
      <c r="M74" s="1049">
        <f t="shared" si="43"/>
        <v>10.56333069312719</v>
      </c>
      <c r="N74" s="1049">
        <f t="shared" si="44"/>
        <v>18.352453325433164</v>
      </c>
      <c r="O74" s="1049">
        <f t="shared" si="45"/>
        <v>31.885070423985013</v>
      </c>
      <c r="P74" s="1063" t="e">
        <f ca="1"/>
        <v>#NAME?</v>
      </c>
      <c r="Q74" s="1049" t="e">
        <f ca="1"/>
        <v>#NAME?</v>
      </c>
      <c r="R74" s="1049" t="e">
        <f ca="1"/>
        <v>#NAME?</v>
      </c>
      <c r="S74" s="1049" t="e">
        <f ca="1"/>
        <v>#NAME?</v>
      </c>
      <c r="T74" s="1049" t="e">
        <f ca="1"/>
        <v>#NAME?</v>
      </c>
      <c r="U74" s="1049" t="e">
        <f ca="1"/>
        <v>#NAME?</v>
      </c>
      <c r="V74" s="1049" t="e">
        <f ca="1"/>
        <v>#NAME?</v>
      </c>
      <c r="W74" s="1049" t="e">
        <f ca="1"/>
        <v>#NAME?</v>
      </c>
      <c r="X74" s="1049" t="e">
        <f ca="1"/>
        <v>#NAME?</v>
      </c>
      <c r="Y74" s="1062" t="e">
        <f ca="1"/>
        <v>#NAME?</v>
      </c>
      <c r="AO74" s="1052"/>
    </row>
    <row r="75" spans="1:41" ht="15" customHeight="1" x14ac:dyDescent="0.2">
      <c r="A75" s="1068">
        <v>73</v>
      </c>
      <c r="B75" s="1067">
        <f t="shared" si="46"/>
        <v>4.2000000000000028</v>
      </c>
      <c r="C75" s="1052">
        <f t="shared" si="35"/>
        <v>1.8181818181818243</v>
      </c>
      <c r="D75" s="1066">
        <v>3.4299999999999997</v>
      </c>
      <c r="E75" s="1065" t="e">
        <f ca="1"/>
        <v>#NAME?</v>
      </c>
      <c r="F75" s="1064">
        <f t="shared" si="36"/>
        <v>0.19149519501466092</v>
      </c>
      <c r="G75" s="1049">
        <f t="shared" si="37"/>
        <v>0.34817308184483919</v>
      </c>
      <c r="H75" s="1049">
        <f t="shared" si="38"/>
        <v>0.63304196699061888</v>
      </c>
      <c r="I75" s="1049">
        <f t="shared" si="39"/>
        <v>1.1509853945284019</v>
      </c>
      <c r="J75" s="1049">
        <f t="shared" si="40"/>
        <v>2.0927007173243743</v>
      </c>
      <c r="K75" s="1049">
        <f t="shared" si="41"/>
        <v>3.8049103951352388</v>
      </c>
      <c r="L75" s="1049">
        <f t="shared" si="42"/>
        <v>6.9180189002459116</v>
      </c>
      <c r="M75" s="1049">
        <f t="shared" si="43"/>
        <v>12.578216182265338</v>
      </c>
      <c r="N75" s="1049">
        <f t="shared" si="44"/>
        <v>22.869483967755237</v>
      </c>
      <c r="O75" s="1049">
        <f t="shared" si="45"/>
        <v>41.580879941373297</v>
      </c>
      <c r="P75" s="1063" t="e">
        <f ca="1"/>
        <v>#NAME?</v>
      </c>
      <c r="Q75" s="1049" t="e">
        <f ca="1"/>
        <v>#NAME?</v>
      </c>
      <c r="R75" s="1049" t="e">
        <f ca="1"/>
        <v>#NAME?</v>
      </c>
      <c r="S75" s="1049" t="e">
        <f ca="1"/>
        <v>#NAME?</v>
      </c>
      <c r="T75" s="1049" t="e">
        <f ca="1"/>
        <v>#NAME?</v>
      </c>
      <c r="U75" s="1049" t="e">
        <f ca="1"/>
        <v>#NAME?</v>
      </c>
      <c r="V75" s="1049" t="e">
        <f ca="1"/>
        <v>#NAME?</v>
      </c>
      <c r="W75" s="1049" t="e">
        <f ca="1"/>
        <v>#NAME?</v>
      </c>
      <c r="X75" s="1049" t="e">
        <f ca="1"/>
        <v>#NAME?</v>
      </c>
      <c r="Y75" s="1062" t="e">
        <f ca="1"/>
        <v>#NAME?</v>
      </c>
      <c r="AB75" s="1049"/>
      <c r="AO75" s="1052"/>
    </row>
    <row r="76" spans="1:41" ht="15" customHeight="1" x14ac:dyDescent="0.2">
      <c r="A76" s="1068">
        <v>74</v>
      </c>
      <c r="B76" s="1067">
        <f t="shared" si="46"/>
        <v>4.3000000000000025</v>
      </c>
      <c r="C76" s="1052">
        <f t="shared" si="35"/>
        <v>1.898989898989905</v>
      </c>
      <c r="D76" s="1066">
        <v>3.5</v>
      </c>
      <c r="E76" s="1065" t="e">
        <f ca="1"/>
        <v>#NAME?</v>
      </c>
      <c r="F76" s="1064">
        <f t="shared" si="36"/>
        <v>0.164790333655043</v>
      </c>
      <c r="G76" s="1049">
        <f t="shared" si="37"/>
        <v>0.31293517906210283</v>
      </c>
      <c r="H76" s="1049">
        <f t="shared" si="38"/>
        <v>0.5942607440775306</v>
      </c>
      <c r="I76" s="1049">
        <f t="shared" si="39"/>
        <v>1.1284951503694556</v>
      </c>
      <c r="J76" s="1049">
        <f t="shared" si="40"/>
        <v>2.1430008916106904</v>
      </c>
      <c r="K76" s="1049">
        <f t="shared" si="41"/>
        <v>4.0695370466950616</v>
      </c>
      <c r="L76" s="1049">
        <f t="shared" si="42"/>
        <v>7.7280097452391301</v>
      </c>
      <c r="M76" s="1049">
        <f t="shared" si="43"/>
        <v>14.675412445504657</v>
      </c>
      <c r="N76" s="1049">
        <f t="shared" si="44"/>
        <v>27.868459997524088</v>
      </c>
      <c r="O76" s="1049">
        <f t="shared" si="45"/>
        <v>52.921924035702482</v>
      </c>
      <c r="P76" s="1063" t="e">
        <f ca="1"/>
        <v>#NAME?</v>
      </c>
      <c r="Q76" s="1049" t="e">
        <f ca="1"/>
        <v>#NAME?</v>
      </c>
      <c r="R76" s="1049" t="e">
        <f ca="1"/>
        <v>#NAME?</v>
      </c>
      <c r="S76" s="1049" t="e">
        <f ca="1"/>
        <v>#NAME?</v>
      </c>
      <c r="T76" s="1049" t="e">
        <f ca="1"/>
        <v>#NAME?</v>
      </c>
      <c r="U76" s="1049" t="e">
        <f ca="1"/>
        <v>#NAME?</v>
      </c>
      <c r="V76" s="1049" t="e">
        <f ca="1"/>
        <v>#NAME?</v>
      </c>
      <c r="W76" s="1049" t="e">
        <f ca="1"/>
        <v>#NAME?</v>
      </c>
      <c r="X76" s="1049" t="e">
        <f ca="1"/>
        <v>#NAME?</v>
      </c>
      <c r="Y76" s="1062" t="e">
        <f ca="1"/>
        <v>#NAME?</v>
      </c>
      <c r="AB76" s="1049"/>
      <c r="AO76" s="1052"/>
    </row>
    <row r="77" spans="1:41" ht="15" customHeight="1" x14ac:dyDescent="0.2">
      <c r="A77" s="1068">
        <v>75</v>
      </c>
      <c r="B77" s="1067">
        <f t="shared" si="46"/>
        <v>4.4000000000000021</v>
      </c>
      <c r="C77" s="1052">
        <f t="shared" si="35"/>
        <v>1.9797979797979857</v>
      </c>
      <c r="D77" s="1066">
        <v>2.94</v>
      </c>
      <c r="E77" s="1065" t="e">
        <f ca="1"/>
        <v>#NAME?</v>
      </c>
      <c r="F77" s="1064">
        <f t="shared" si="36"/>
        <v>0.14088659254764058</v>
      </c>
      <c r="G77" s="1049">
        <f t="shared" si="37"/>
        <v>0.27892699130644077</v>
      </c>
      <c r="H77" s="1049">
        <f t="shared" si="38"/>
        <v>0.55221909389962176</v>
      </c>
      <c r="I77" s="1049">
        <f t="shared" si="39"/>
        <v>1.0932822465083452</v>
      </c>
      <c r="J77" s="1049">
        <f t="shared" si="40"/>
        <v>2.1644779829862251</v>
      </c>
      <c r="K77" s="1049">
        <f t="shared" si="41"/>
        <v>4.2852291380333476</v>
      </c>
      <c r="L77" s="1049">
        <f t="shared" si="42"/>
        <v>8.483887990449885</v>
      </c>
      <c r="M77" s="1049">
        <f t="shared" si="43"/>
        <v>16.796384304325073</v>
      </c>
      <c r="N77" s="1049">
        <f t="shared" si="44"/>
        <v>33.253447713613376</v>
      </c>
      <c r="O77" s="1049">
        <f t="shared" si="45"/>
        <v>65.835108604729712</v>
      </c>
      <c r="P77" s="1063" t="e">
        <f ca="1"/>
        <v>#NAME?</v>
      </c>
      <c r="Q77" s="1049" t="e">
        <f ca="1"/>
        <v>#NAME?</v>
      </c>
      <c r="R77" s="1049" t="e">
        <f ca="1"/>
        <v>#NAME?</v>
      </c>
      <c r="S77" s="1049" t="e">
        <f ca="1"/>
        <v>#NAME?</v>
      </c>
      <c r="T77" s="1049" t="e">
        <f ca="1"/>
        <v>#NAME?</v>
      </c>
      <c r="U77" s="1049" t="e">
        <f ca="1"/>
        <v>#NAME?</v>
      </c>
      <c r="V77" s="1049" t="e">
        <f ca="1"/>
        <v>#NAME?</v>
      </c>
      <c r="W77" s="1049" t="e">
        <f ca="1"/>
        <v>#NAME?</v>
      </c>
      <c r="X77" s="1049" t="e">
        <f ca="1"/>
        <v>#NAME?</v>
      </c>
      <c r="Y77" s="1062" t="e">
        <f ca="1"/>
        <v>#NAME?</v>
      </c>
      <c r="AB77" s="1049"/>
      <c r="AO77" s="1052"/>
    </row>
    <row r="78" spans="1:41" ht="15" customHeight="1" x14ac:dyDescent="0.2">
      <c r="A78" s="1068">
        <v>76</v>
      </c>
      <c r="B78" s="1067">
        <f t="shared" si="46"/>
        <v>4.5000000000000018</v>
      </c>
      <c r="C78" s="1052">
        <f t="shared" si="35"/>
        <v>2.0606060606060663</v>
      </c>
      <c r="D78" s="1066">
        <v>2.21</v>
      </c>
      <c r="E78" s="1065" t="e">
        <f ca="1"/>
        <v>#NAME?</v>
      </c>
      <c r="F78" s="1064">
        <f t="shared" si="36"/>
        <v>0.11966624910955795</v>
      </c>
      <c r="G78" s="1049">
        <f t="shared" si="37"/>
        <v>0.24658499816515039</v>
      </c>
      <c r="H78" s="1049">
        <f t="shared" si="38"/>
        <v>0.50811454167364467</v>
      </c>
      <c r="I78" s="1049">
        <f t="shared" si="39"/>
        <v>1.047023904054786</v>
      </c>
      <c r="J78" s="1049">
        <f t="shared" si="40"/>
        <v>2.1575038022947166</v>
      </c>
      <c r="K78" s="1049">
        <f t="shared" si="41"/>
        <v>4.445765410789126</v>
      </c>
      <c r="L78" s="1049">
        <f t="shared" si="42"/>
        <v>9.1609711495048902</v>
      </c>
      <c r="M78" s="1049">
        <f t="shared" si="43"/>
        <v>18.877152671707101</v>
      </c>
      <c r="N78" s="1049">
        <f t="shared" si="44"/>
        <v>38.898375202305651</v>
      </c>
      <c r="O78" s="1049">
        <f t="shared" si="45"/>
        <v>80.15422768959975</v>
      </c>
      <c r="P78" s="1063" t="e">
        <f ca="1"/>
        <v>#NAME?</v>
      </c>
      <c r="Q78" s="1049" t="e">
        <f ca="1"/>
        <v>#NAME?</v>
      </c>
      <c r="R78" s="1049" t="e">
        <f ca="1"/>
        <v>#NAME?</v>
      </c>
      <c r="S78" s="1049" t="e">
        <f ca="1"/>
        <v>#NAME?</v>
      </c>
      <c r="T78" s="1049" t="e">
        <f ca="1"/>
        <v>#NAME?</v>
      </c>
      <c r="U78" s="1049" t="e">
        <f ca="1"/>
        <v>#NAME?</v>
      </c>
      <c r="V78" s="1049" t="e">
        <f ca="1"/>
        <v>#NAME?</v>
      </c>
      <c r="W78" s="1049" t="e">
        <f ca="1"/>
        <v>#NAME?</v>
      </c>
      <c r="X78" s="1049" t="e">
        <f ca="1"/>
        <v>#NAME?</v>
      </c>
      <c r="Y78" s="1062" t="e">
        <f ca="1"/>
        <v>#NAME?</v>
      </c>
      <c r="AB78" s="1049"/>
      <c r="AO78" s="1052"/>
    </row>
    <row r="79" spans="1:41" ht="15" customHeight="1" x14ac:dyDescent="0.2">
      <c r="A79" s="1068">
        <v>77</v>
      </c>
      <c r="B79" s="1067">
        <f t="shared" si="46"/>
        <v>4.6000000000000014</v>
      </c>
      <c r="C79" s="1052">
        <f t="shared" si="35"/>
        <v>2.1414141414141468</v>
      </c>
      <c r="D79" s="1066">
        <v>2.25</v>
      </c>
      <c r="E79" s="1065" t="e">
        <f ca="1"/>
        <v>#NAME?</v>
      </c>
      <c r="F79" s="1064">
        <f t="shared" si="36"/>
        <v>0.10098055933250803</v>
      </c>
      <c r="G79" s="1049">
        <f t="shared" si="37"/>
        <v>0.216241197762543</v>
      </c>
      <c r="H79" s="1049">
        <f t="shared" si="38"/>
        <v>0.4630619588450427</v>
      </c>
      <c r="I79" s="1049">
        <f t="shared" si="39"/>
        <v>0.99160742702171012</v>
      </c>
      <c r="J79" s="1049">
        <f t="shared" si="40"/>
        <v>2.1234421669555865</v>
      </c>
      <c r="K79" s="1049">
        <f t="shared" si="41"/>
        <v>4.5471690847937927</v>
      </c>
      <c r="L79" s="1049">
        <f t="shared" si="42"/>
        <v>9.7373721815786496</v>
      </c>
      <c r="M79" s="1049">
        <f t="shared" si="43"/>
        <v>20.851746489845244</v>
      </c>
      <c r="N79" s="1049">
        <f t="shared" si="44"/>
        <v>44.652224806537404</v>
      </c>
      <c r="O79" s="1049">
        <f t="shared" si="45"/>
        <v>95.618905646322759</v>
      </c>
      <c r="P79" s="1063" t="e">
        <f ca="1"/>
        <v>#NAME?</v>
      </c>
      <c r="Q79" s="1049" t="e">
        <f ca="1"/>
        <v>#NAME?</v>
      </c>
      <c r="R79" s="1049" t="e">
        <f ca="1"/>
        <v>#NAME?</v>
      </c>
      <c r="S79" s="1049" t="e">
        <f ca="1"/>
        <v>#NAME?</v>
      </c>
      <c r="T79" s="1049" t="e">
        <f ca="1"/>
        <v>#NAME?</v>
      </c>
      <c r="U79" s="1049" t="e">
        <f ca="1"/>
        <v>#NAME?</v>
      </c>
      <c r="V79" s="1049" t="e">
        <f ca="1"/>
        <v>#NAME?</v>
      </c>
      <c r="W79" s="1049" t="e">
        <f ca="1"/>
        <v>#NAME?</v>
      </c>
      <c r="X79" s="1049" t="e">
        <f ca="1"/>
        <v>#NAME?</v>
      </c>
      <c r="Y79" s="1062" t="e">
        <f ca="1"/>
        <v>#NAME?</v>
      </c>
      <c r="AB79" s="1049"/>
      <c r="AO79" s="1052"/>
    </row>
    <row r="80" spans="1:41" ht="15" customHeight="1" x14ac:dyDescent="0.2">
      <c r="A80" s="1068">
        <v>78</v>
      </c>
      <c r="B80" s="1067">
        <f t="shared" si="46"/>
        <v>4.7000000000000011</v>
      </c>
      <c r="C80" s="1052">
        <f t="shared" si="35"/>
        <v>2.2222222222222272</v>
      </c>
      <c r="D80" s="1066">
        <v>1.72</v>
      </c>
      <c r="E80" s="1065" t="e">
        <f ca="1"/>
        <v>#NAME?</v>
      </c>
      <c r="F80" s="1064">
        <f t="shared" si="36"/>
        <v>8.4657988622529032E-2</v>
      </c>
      <c r="G80" s="1049">
        <f t="shared" si="37"/>
        <v>0.18812886360562051</v>
      </c>
      <c r="H80" s="1049">
        <f t="shared" si="38"/>
        <v>0.41806414134582426</v>
      </c>
      <c r="I80" s="1049">
        <f t="shared" si="39"/>
        <v>0.92903142521294479</v>
      </c>
      <c r="J80" s="1049">
        <f t="shared" si="40"/>
        <v>2.0645142782509929</v>
      </c>
      <c r="K80" s="1049">
        <f t="shared" si="41"/>
        <v>4.5878095072244394</v>
      </c>
      <c r="L80" s="1049">
        <f t="shared" si="42"/>
        <v>10.195132238276553</v>
      </c>
      <c r="M80" s="1049">
        <f t="shared" si="43"/>
        <v>22.655849418392389</v>
      </c>
      <c r="N80" s="1049">
        <f t="shared" si="44"/>
        <v>50.346332040872092</v>
      </c>
      <c r="O80" s="1049">
        <f t="shared" si="45"/>
        <v>111.8807378686049</v>
      </c>
      <c r="P80" s="1063" t="e">
        <f ca="1"/>
        <v>#NAME?</v>
      </c>
      <c r="Q80" s="1049" t="e">
        <f ca="1"/>
        <v>#NAME?</v>
      </c>
      <c r="R80" s="1049" t="e">
        <f ca="1"/>
        <v>#NAME?</v>
      </c>
      <c r="S80" s="1049" t="e">
        <f ca="1"/>
        <v>#NAME?</v>
      </c>
      <c r="T80" s="1049" t="e">
        <f ca="1"/>
        <v>#NAME?</v>
      </c>
      <c r="U80" s="1049" t="e">
        <f ca="1"/>
        <v>#NAME?</v>
      </c>
      <c r="V80" s="1049" t="e">
        <f ca="1"/>
        <v>#NAME?</v>
      </c>
      <c r="W80" s="1049" t="e">
        <f ca="1"/>
        <v>#NAME?</v>
      </c>
      <c r="X80" s="1049" t="e">
        <f ca="1"/>
        <v>#NAME?</v>
      </c>
      <c r="Y80" s="1062" t="e">
        <f ca="1"/>
        <v>#NAME?</v>
      </c>
      <c r="AB80" s="1049"/>
      <c r="AO80" s="1052"/>
    </row>
    <row r="81" spans="1:41" ht="15" customHeight="1" x14ac:dyDescent="0.2">
      <c r="A81" s="1068">
        <v>79</v>
      </c>
      <c r="B81" s="1067">
        <f t="shared" si="46"/>
        <v>4.8000000000000007</v>
      </c>
      <c r="C81" s="1052">
        <f t="shared" si="35"/>
        <v>2.3030303030303081</v>
      </c>
      <c r="D81" s="1066">
        <v>1.7</v>
      </c>
      <c r="E81" s="1065" t="e">
        <f ca="1"/>
        <v>#NAME?</v>
      </c>
      <c r="F81" s="1064">
        <f t="shared" si="36"/>
        <v>7.0511864796512322E-2</v>
      </c>
      <c r="G81" s="1049">
        <f t="shared" si="37"/>
        <v>0.16239096134954389</v>
      </c>
      <c r="H81" s="1049">
        <f t="shared" si="38"/>
        <v>0.37399130492622307</v>
      </c>
      <c r="I81" s="1049">
        <f t="shared" si="39"/>
        <v>0.86131330831493991</v>
      </c>
      <c r="J81" s="1049">
        <f t="shared" si="40"/>
        <v>1.9836306494525933</v>
      </c>
      <c r="K81" s="1049">
        <f t="shared" si="41"/>
        <v>4.5683614957090128</v>
      </c>
      <c r="L81" s="1049">
        <f t="shared" si="42"/>
        <v>10.521074959814719</v>
      </c>
      <c r="M81" s="1049">
        <f t="shared" si="43"/>
        <v>24.230354452906674</v>
      </c>
      <c r="N81" s="1049">
        <f t="shared" si="44"/>
        <v>55.803240558209438</v>
      </c>
      <c r="O81" s="1049">
        <f t="shared" si="45"/>
        <v>128.51655401284626</v>
      </c>
      <c r="P81" s="1063" t="e">
        <f ca="1"/>
        <v>#NAME?</v>
      </c>
      <c r="Q81" s="1049" t="e">
        <f ca="1"/>
        <v>#NAME?</v>
      </c>
      <c r="R81" s="1049" t="e">
        <f ca="1"/>
        <v>#NAME?</v>
      </c>
      <c r="S81" s="1049" t="e">
        <f ca="1"/>
        <v>#NAME?</v>
      </c>
      <c r="T81" s="1049" t="e">
        <f ca="1"/>
        <v>#NAME?</v>
      </c>
      <c r="U81" s="1049" t="e">
        <f ca="1"/>
        <v>#NAME?</v>
      </c>
      <c r="V81" s="1049" t="e">
        <f ca="1"/>
        <v>#NAME?</v>
      </c>
      <c r="W81" s="1049" t="e">
        <f ca="1"/>
        <v>#NAME?</v>
      </c>
      <c r="X81" s="1049" t="e">
        <f ca="1"/>
        <v>#NAME?</v>
      </c>
      <c r="Y81" s="1062" t="e">
        <f ca="1"/>
        <v>#NAME?</v>
      </c>
      <c r="AB81" s="1049"/>
      <c r="AO81" s="1052"/>
    </row>
    <row r="82" spans="1:41" ht="15" customHeight="1" x14ac:dyDescent="0.2">
      <c r="A82" s="1068">
        <v>80</v>
      </c>
      <c r="B82" s="1067">
        <f t="shared" si="46"/>
        <v>4.9000000000000004</v>
      </c>
      <c r="C82" s="1052">
        <f t="shared" si="35"/>
        <v>2.3838383838383885</v>
      </c>
      <c r="D82" s="1066">
        <v>1.4</v>
      </c>
      <c r="E82" s="1065" t="e">
        <f ca="1"/>
        <v>#NAME?</v>
      </c>
      <c r="F82" s="1064">
        <f t="shared" si="36"/>
        <v>5.8347269290840352E-2</v>
      </c>
      <c r="G82" s="1049">
        <f t="shared" si="37"/>
        <v>0.1390904601276601</v>
      </c>
      <c r="H82" s="1049">
        <f t="shared" si="38"/>
        <v>0.3315691776780591</v>
      </c>
      <c r="I82" s="1049">
        <f t="shared" si="39"/>
        <v>0.79040733264668794</v>
      </c>
      <c r="J82" s="1049">
        <f t="shared" si="40"/>
        <v>1.8842033384304921</v>
      </c>
      <c r="K82" s="1049">
        <f t="shared" si="41"/>
        <v>4.4916362411070407</v>
      </c>
      <c r="L82" s="1049">
        <f t="shared" si="42"/>
        <v>10.707334877790542</v>
      </c>
      <c r="M82" s="1049">
        <f t="shared" si="43"/>
        <v>25.524555870288616</v>
      </c>
      <c r="N82" s="1049">
        <f t="shared" si="44"/>
        <v>60.846416014021464</v>
      </c>
      <c r="O82" s="1049">
        <f t="shared" si="45"/>
        <v>145.04802201322318</v>
      </c>
      <c r="P82" s="1063" t="e">
        <f ca="1"/>
        <v>#NAME?</v>
      </c>
      <c r="Q82" s="1049" t="e">
        <f ca="1"/>
        <v>#NAME?</v>
      </c>
      <c r="R82" s="1049" t="e">
        <f ca="1"/>
        <v>#NAME?</v>
      </c>
      <c r="S82" s="1049" t="e">
        <f ca="1"/>
        <v>#NAME?</v>
      </c>
      <c r="T82" s="1049" t="e">
        <f ca="1"/>
        <v>#NAME?</v>
      </c>
      <c r="U82" s="1049" t="e">
        <f ca="1"/>
        <v>#NAME?</v>
      </c>
      <c r="V82" s="1049" t="e">
        <f ca="1"/>
        <v>#NAME?</v>
      </c>
      <c r="W82" s="1049" t="e">
        <f ca="1"/>
        <v>#NAME?</v>
      </c>
      <c r="X82" s="1049" t="e">
        <f ca="1"/>
        <v>#NAME?</v>
      </c>
      <c r="Y82" s="1062" t="e">
        <f ca="1"/>
        <v>#NAME?</v>
      </c>
      <c r="AB82" s="1049"/>
      <c r="AO82" s="1052"/>
    </row>
    <row r="83" spans="1:41" ht="15" customHeight="1" x14ac:dyDescent="0.2">
      <c r="A83" s="1068">
        <v>81</v>
      </c>
      <c r="B83" s="1067">
        <f t="shared" si="46"/>
        <v>5</v>
      </c>
      <c r="C83" s="1052">
        <f t="shared" si="35"/>
        <v>2.464646464646469</v>
      </c>
      <c r="D83" s="1066">
        <v>1.3199999999999998</v>
      </c>
      <c r="E83" s="1065" t="e">
        <f ca="1"/>
        <v>#NAME?</v>
      </c>
      <c r="F83" s="1064">
        <f t="shared" si="36"/>
        <v>4.7967043489951428E-2</v>
      </c>
      <c r="G83" s="1049">
        <f t="shared" si="37"/>
        <v>0.1182218041570522</v>
      </c>
      <c r="H83" s="1049">
        <f t="shared" si="38"/>
        <v>0.29137495165980593</v>
      </c>
      <c r="I83" s="1049">
        <f t="shared" si="39"/>
        <v>0.71813624449487645</v>
      </c>
      <c r="J83" s="1049">
        <f t="shared" si="40"/>
        <v>1.7699519561287895</v>
      </c>
      <c r="K83" s="1049">
        <f t="shared" si="41"/>
        <v>4.3623058312669238</v>
      </c>
      <c r="L83" s="1049">
        <f t="shared" si="42"/>
        <v>10.751541644738698</v>
      </c>
      <c r="M83" s="1049">
        <f t="shared" si="43"/>
        <v>26.498749104204514</v>
      </c>
      <c r="N83" s="1049">
        <f t="shared" si="44"/>
        <v>65.310048297231447</v>
      </c>
      <c r="O83" s="1049">
        <f t="shared" si="45"/>
        <v>160.96617964166163</v>
      </c>
      <c r="P83" s="1063" t="e">
        <f ca="1"/>
        <v>#NAME?</v>
      </c>
      <c r="Q83" s="1049" t="e">
        <f ca="1"/>
        <v>#NAME?</v>
      </c>
      <c r="R83" s="1049" t="e">
        <f ca="1"/>
        <v>#NAME?</v>
      </c>
      <c r="S83" s="1049" t="e">
        <f ca="1"/>
        <v>#NAME?</v>
      </c>
      <c r="T83" s="1049" t="e">
        <f ca="1"/>
        <v>#NAME?</v>
      </c>
      <c r="U83" s="1049" t="e">
        <f ca="1"/>
        <v>#NAME?</v>
      </c>
      <c r="V83" s="1049" t="e">
        <f ca="1"/>
        <v>#NAME?</v>
      </c>
      <c r="W83" s="1049" t="e">
        <f ca="1"/>
        <v>#NAME?</v>
      </c>
      <c r="X83" s="1049" t="e">
        <f ca="1"/>
        <v>#NAME?</v>
      </c>
      <c r="Y83" s="1062" t="e">
        <f ca="1"/>
        <v>#NAME?</v>
      </c>
      <c r="AB83" s="1049"/>
      <c r="AO83" s="1052"/>
    </row>
    <row r="84" spans="1:41" ht="15" customHeight="1" x14ac:dyDescent="0.2">
      <c r="A84" s="1068">
        <v>82</v>
      </c>
      <c r="B84" s="1067">
        <f t="shared" si="46"/>
        <v>5.0999999999999996</v>
      </c>
      <c r="C84" s="1052">
        <f t="shared" si="35"/>
        <v>2.5454545454545494</v>
      </c>
      <c r="D84" s="1066">
        <v>1.41</v>
      </c>
      <c r="E84" s="1065" t="e">
        <f ca="1"/>
        <v>#NAME?</v>
      </c>
      <c r="F84" s="1064">
        <f t="shared" si="36"/>
        <v>3.9176843981361377E-2</v>
      </c>
      <c r="G84" s="1049">
        <f t="shared" si="37"/>
        <v>9.9722875588920026E-2</v>
      </c>
      <c r="H84" s="1049">
        <f t="shared" si="38"/>
        <v>0.25384004695361501</v>
      </c>
      <c r="I84" s="1049">
        <f t="shared" si="39"/>
        <v>0.64613830133647554</v>
      </c>
      <c r="J84" s="1049">
        <f t="shared" si="40"/>
        <v>1.644715676129213</v>
      </c>
      <c r="K84" s="1049">
        <f t="shared" si="41"/>
        <v>4.1865489937834584</v>
      </c>
      <c r="L84" s="1049">
        <f t="shared" si="42"/>
        <v>10.656670165994273</v>
      </c>
      <c r="M84" s="1049">
        <f t="shared" si="43"/>
        <v>27.126069513440008</v>
      </c>
      <c r="N84" s="1049">
        <f t="shared" si="44"/>
        <v>69.048176943301954</v>
      </c>
      <c r="O84" s="1049">
        <f t="shared" si="45"/>
        <v>175.75899585567799</v>
      </c>
      <c r="P84" s="1063" t="e">
        <f ca="1"/>
        <v>#NAME?</v>
      </c>
      <c r="Q84" s="1049" t="e">
        <f ca="1"/>
        <v>#NAME?</v>
      </c>
      <c r="R84" s="1049" t="e">
        <f ca="1"/>
        <v>#NAME?</v>
      </c>
      <c r="S84" s="1049" t="e">
        <f ca="1"/>
        <v>#NAME?</v>
      </c>
      <c r="T84" s="1049" t="e">
        <f ca="1"/>
        <v>#NAME?</v>
      </c>
      <c r="U84" s="1049" t="e">
        <f ca="1"/>
        <v>#NAME?</v>
      </c>
      <c r="V84" s="1049" t="e">
        <f ca="1"/>
        <v>#NAME?</v>
      </c>
      <c r="W84" s="1049" t="e">
        <f ca="1"/>
        <v>#NAME?</v>
      </c>
      <c r="X84" s="1049" t="e">
        <f ca="1"/>
        <v>#NAME?</v>
      </c>
      <c r="Y84" s="1062" t="e">
        <f ca="1"/>
        <v>#NAME?</v>
      </c>
      <c r="AB84" s="1049"/>
      <c r="AO84" s="1052"/>
    </row>
    <row r="85" spans="1:41" ht="15" customHeight="1" x14ac:dyDescent="0.2">
      <c r="A85" s="1068">
        <v>83</v>
      </c>
      <c r="B85" s="1067">
        <f t="shared" si="46"/>
        <v>5.1999999999999993</v>
      </c>
      <c r="C85" s="1052">
        <f t="shared" si="35"/>
        <v>2.6262626262626303</v>
      </c>
      <c r="D85" s="1066">
        <v>0.67</v>
      </c>
      <c r="E85" s="1065" t="e">
        <f ca="1"/>
        <v>#NAME?</v>
      </c>
      <c r="F85" s="1064">
        <f t="shared" si="36"/>
        <v>3.1789231104806505E-2</v>
      </c>
      <c r="G85" s="1049">
        <f t="shared" si="37"/>
        <v>8.3486869568178829E-2</v>
      </c>
      <c r="H85" s="1049">
        <f t="shared" si="38"/>
        <v>0.21925844533057101</v>
      </c>
      <c r="I85" s="1049">
        <f t="shared" si="39"/>
        <v>0.57583026046412666</v>
      </c>
      <c r="J85" s="1049">
        <f t="shared" si="40"/>
        <v>1.5122814921280121</v>
      </c>
      <c r="K85" s="1049">
        <f t="shared" si="41"/>
        <v>3.9716483631644821</v>
      </c>
      <c r="L85" s="1049">
        <f t="shared" si="42"/>
        <v>10.430591660836031</v>
      </c>
      <c r="M85" s="1049">
        <f t="shared" si="43"/>
        <v>27.393473048660322</v>
      </c>
      <c r="N85" s="1049">
        <f t="shared" si="44"/>
        <v>71.942454471229254</v>
      </c>
      <c r="O85" s="1049">
        <f t="shared" si="45"/>
        <v>188.93977941939025</v>
      </c>
      <c r="P85" s="1063" t="e">
        <f ca="1"/>
        <v>#NAME?</v>
      </c>
      <c r="Q85" s="1049" t="e">
        <f ca="1"/>
        <v>#NAME?</v>
      </c>
      <c r="R85" s="1049" t="e">
        <f ca="1"/>
        <v>#NAME?</v>
      </c>
      <c r="S85" s="1049" t="e">
        <f ca="1"/>
        <v>#NAME?</v>
      </c>
      <c r="T85" s="1049" t="e">
        <f ca="1"/>
        <v>#NAME?</v>
      </c>
      <c r="U85" s="1049" t="e">
        <f ca="1"/>
        <v>#NAME?</v>
      </c>
      <c r="V85" s="1049" t="e">
        <f ca="1"/>
        <v>#NAME?</v>
      </c>
      <c r="W85" s="1049" t="e">
        <f ca="1"/>
        <v>#NAME?</v>
      </c>
      <c r="X85" s="1049" t="e">
        <f ca="1"/>
        <v>#NAME?</v>
      </c>
      <c r="Y85" s="1062" t="e">
        <f ca="1"/>
        <v>#NAME?</v>
      </c>
      <c r="AB85" s="1049"/>
      <c r="AO85" s="1052"/>
    </row>
    <row r="86" spans="1:41" ht="15" customHeight="1" x14ac:dyDescent="0.2">
      <c r="A86" s="1068">
        <v>84</v>
      </c>
      <c r="B86" s="1067">
        <f t="shared" si="46"/>
        <v>5.2999999999999989</v>
      </c>
      <c r="C86" s="1052">
        <f t="shared" si="35"/>
        <v>2.7070707070707107</v>
      </c>
      <c r="D86" s="1066">
        <v>1.3</v>
      </c>
      <c r="E86" s="1065" t="e">
        <f ca="1"/>
        <v>#NAME?</v>
      </c>
      <c r="F86" s="1064">
        <f t="shared" si="36"/>
        <v>2.5626817773420883E-2</v>
      </c>
      <c r="G86" s="1049">
        <f t="shared" si="37"/>
        <v>6.9373607709866725E-2</v>
      </c>
      <c r="H86" s="1049">
        <f t="shared" si="38"/>
        <v>0.18779926127519503</v>
      </c>
      <c r="I86" s="1049">
        <f t="shared" si="39"/>
        <v>0.50838587900759935</v>
      </c>
      <c r="J86" s="1049">
        <f t="shared" si="40"/>
        <v>1.3762365209498666</v>
      </c>
      <c r="K86" s="1049">
        <f t="shared" si="41"/>
        <v>3.7255695718642907</v>
      </c>
      <c r="L86" s="1049">
        <f t="shared" si="42"/>
        <v>10.08538025514779</v>
      </c>
      <c r="M86" s="1049">
        <f t="shared" si="43"/>
        <v>27.301837458379914</v>
      </c>
      <c r="N86" s="1049">
        <f t="shared" si="44"/>
        <v>73.908004432786129</v>
      </c>
      <c r="O86" s="1049">
        <f t="shared" si="45"/>
        <v>200.07419381804755</v>
      </c>
      <c r="P86" s="1063" t="e">
        <f ca="1"/>
        <v>#NAME?</v>
      </c>
      <c r="Q86" s="1049" t="e">
        <f ca="1"/>
        <v>#NAME?</v>
      </c>
      <c r="R86" s="1049" t="e">
        <f ca="1"/>
        <v>#NAME?</v>
      </c>
      <c r="S86" s="1049" t="e">
        <f ca="1"/>
        <v>#NAME?</v>
      </c>
      <c r="T86" s="1049" t="e">
        <f ca="1"/>
        <v>#NAME?</v>
      </c>
      <c r="U86" s="1049" t="e">
        <f ca="1"/>
        <v>#NAME?</v>
      </c>
      <c r="V86" s="1049" t="e">
        <f ca="1"/>
        <v>#NAME?</v>
      </c>
      <c r="W86" s="1049" t="e">
        <f ca="1"/>
        <v>#NAME?</v>
      </c>
      <c r="X86" s="1049" t="e">
        <f ca="1"/>
        <v>#NAME?</v>
      </c>
      <c r="Y86" s="1062" t="e">
        <f ca="1"/>
        <v>#NAME?</v>
      </c>
      <c r="AB86" s="1049"/>
      <c r="AO86" s="1052"/>
    </row>
    <row r="87" spans="1:41" ht="15" customHeight="1" x14ac:dyDescent="0.2">
      <c r="A87" s="1068">
        <v>85</v>
      </c>
      <c r="B87" s="1067">
        <f t="shared" si="46"/>
        <v>5.3999999999999986</v>
      </c>
      <c r="C87" s="1052">
        <f t="shared" si="35"/>
        <v>2.7878787878787912</v>
      </c>
      <c r="D87" s="1066">
        <v>1.3599999999999999</v>
      </c>
      <c r="E87" s="1065" t="e">
        <f ca="1"/>
        <v>#NAME?</v>
      </c>
      <c r="F87" s="1064">
        <f t="shared" si="36"/>
        <v>2.0524539335735361E-2</v>
      </c>
      <c r="G87" s="1049">
        <f t="shared" si="37"/>
        <v>5.7219927845080468E-2</v>
      </c>
      <c r="H87" s="1049">
        <f t="shared" si="38"/>
        <v>0.15952222308325484</v>
      </c>
      <c r="I87" s="1049">
        <f t="shared" si="39"/>
        <v>0.44472862192907464</v>
      </c>
      <c r="J87" s="1049">
        <f t="shared" si="40"/>
        <v>1.2398494914386338</v>
      </c>
      <c r="K87" s="1049">
        <f t="shared" si="41"/>
        <v>3.4565500973440741</v>
      </c>
      <c r="L87" s="1049">
        <f t="shared" si="42"/>
        <v>9.6364426956259148</v>
      </c>
      <c r="M87" s="1049">
        <f t="shared" si="43"/>
        <v>26.865234181745006</v>
      </c>
      <c r="N87" s="1049">
        <f t="shared" si="44"/>
        <v>74.897016506683144</v>
      </c>
      <c r="O87" s="1049">
        <f t="shared" si="45"/>
        <v>208.80380359438965</v>
      </c>
      <c r="P87" s="1063" t="e">
        <f ca="1"/>
        <v>#NAME?</v>
      </c>
      <c r="Q87" s="1049" t="e">
        <f ca="1"/>
        <v>#NAME?</v>
      </c>
      <c r="R87" s="1049" t="e">
        <f ca="1"/>
        <v>#NAME?</v>
      </c>
      <c r="S87" s="1049" t="e">
        <f ca="1"/>
        <v>#NAME?</v>
      </c>
      <c r="T87" s="1049" t="e">
        <f ca="1"/>
        <v>#NAME?</v>
      </c>
      <c r="U87" s="1049" t="e">
        <f ca="1"/>
        <v>#NAME?</v>
      </c>
      <c r="V87" s="1049" t="e">
        <f ca="1"/>
        <v>#NAME?</v>
      </c>
      <c r="W87" s="1049" t="e">
        <f ca="1"/>
        <v>#NAME?</v>
      </c>
      <c r="X87" s="1049" t="e">
        <f ca="1"/>
        <v>#NAME?</v>
      </c>
      <c r="Y87" s="1062" t="e">
        <f ca="1"/>
        <v>#NAME?</v>
      </c>
      <c r="AO87" s="1052"/>
    </row>
    <row r="88" spans="1:41" ht="15" customHeight="1" x14ac:dyDescent="0.2">
      <c r="A88" s="1068">
        <v>86</v>
      </c>
      <c r="B88" s="1067">
        <f t="shared" si="46"/>
        <v>5.4999999999999982</v>
      </c>
      <c r="C88" s="1052">
        <f t="shared" si="35"/>
        <v>2.8686868686868721</v>
      </c>
      <c r="D88" s="1066">
        <v>0.62</v>
      </c>
      <c r="E88" s="1065" t="e">
        <f ca="1"/>
        <v>#NAME?</v>
      </c>
      <c r="F88" s="1064">
        <f t="shared" si="36"/>
        <v>1.633113002139552E-2</v>
      </c>
      <c r="G88" s="1049">
        <f t="shared" si="37"/>
        <v>4.6848898243195283E-2</v>
      </c>
      <c r="H88" s="1049">
        <f t="shared" si="38"/>
        <v>0.13439481920270177</v>
      </c>
      <c r="I88" s="1049">
        <f t="shared" si="39"/>
        <v>0.38553665306633689</v>
      </c>
      <c r="J88" s="1049">
        <f t="shared" si="40"/>
        <v>1.1059839340488868</v>
      </c>
      <c r="K88" s="1049">
        <f t="shared" si="41"/>
        <v>3.1727215885846891</v>
      </c>
      <c r="L88" s="1049">
        <f t="shared" si="42"/>
        <v>9.1015447591722509</v>
      </c>
      <c r="M88" s="1049">
        <f t="shared" si="43"/>
        <v>26.109481935403252</v>
      </c>
      <c r="N88" s="1049">
        <f t="shared" si="44"/>
        <v>74.899927976308405</v>
      </c>
      <c r="O88" s="1049">
        <f t="shared" si="45"/>
        <v>214.86443985122841</v>
      </c>
      <c r="P88" s="1063" t="e">
        <f ca="1"/>
        <v>#NAME?</v>
      </c>
      <c r="Q88" s="1049" t="e">
        <f ca="1"/>
        <v>#NAME?</v>
      </c>
      <c r="R88" s="1049" t="e">
        <f ca="1"/>
        <v>#NAME?</v>
      </c>
      <c r="S88" s="1049" t="e">
        <f ca="1"/>
        <v>#NAME?</v>
      </c>
      <c r="T88" s="1049" t="e">
        <f ca="1"/>
        <v>#NAME?</v>
      </c>
      <c r="U88" s="1049" t="e">
        <f ca="1"/>
        <v>#NAME?</v>
      </c>
      <c r="V88" s="1049" t="e">
        <f ca="1"/>
        <v>#NAME?</v>
      </c>
      <c r="W88" s="1049" t="e">
        <f ca="1"/>
        <v>#NAME?</v>
      </c>
      <c r="X88" s="1049" t="e">
        <f ca="1"/>
        <v>#NAME?</v>
      </c>
      <c r="Y88" s="1062" t="e">
        <f ca="1"/>
        <v>#NAME?</v>
      </c>
      <c r="AO88" s="1052"/>
    </row>
    <row r="89" spans="1:41" ht="15" customHeight="1" x14ac:dyDescent="0.2">
      <c r="A89" s="1068">
        <v>87</v>
      </c>
      <c r="B89" s="1067">
        <f t="shared" si="46"/>
        <v>5.5999999999999979</v>
      </c>
      <c r="C89" s="1052">
        <f t="shared" si="35"/>
        <v>2.9494949494949525</v>
      </c>
      <c r="D89" s="1066">
        <v>1.1099999999999999</v>
      </c>
      <c r="E89" s="1065" t="e">
        <f ca="1"/>
        <v>#NAME?</v>
      </c>
      <c r="F89" s="1064">
        <f t="shared" si="36"/>
        <v>1.2909907636709716E-2</v>
      </c>
      <c r="G89" s="1049">
        <f t="shared" si="37"/>
        <v>3.8077707372921626E-2</v>
      </c>
      <c r="H89" s="1049">
        <f t="shared" si="38"/>
        <v>0.11231000558477905</v>
      </c>
      <c r="I89" s="1049">
        <f t="shared" si="39"/>
        <v>0.33125779425005569</v>
      </c>
      <c r="J89" s="1049">
        <f t="shared" si="40"/>
        <v>0.97704319112137761</v>
      </c>
      <c r="K89" s="1049">
        <f t="shared" si="41"/>
        <v>2.8817839576509345</v>
      </c>
      <c r="L89" s="1049">
        <f t="shared" si="42"/>
        <v>8.4998072286270094</v>
      </c>
      <c r="M89" s="1049">
        <f t="shared" si="43"/>
        <v>25.070138492516048</v>
      </c>
      <c r="N89" s="1049">
        <f t="shared" si="44"/>
        <v>73.944246866815107</v>
      </c>
      <c r="O89" s="1049">
        <f t="shared" si="45"/>
        <v>218.09818267787912</v>
      </c>
      <c r="P89" s="1063" t="e">
        <f ca="1"/>
        <v>#NAME?</v>
      </c>
      <c r="Q89" s="1049" t="e">
        <f ca="1"/>
        <v>#NAME?</v>
      </c>
      <c r="R89" s="1049" t="e">
        <f ca="1"/>
        <v>#NAME?</v>
      </c>
      <c r="S89" s="1049" t="e">
        <f ca="1"/>
        <v>#NAME?</v>
      </c>
      <c r="T89" s="1049" t="e">
        <f ca="1"/>
        <v>#NAME?</v>
      </c>
      <c r="U89" s="1049" t="e">
        <f ca="1"/>
        <v>#NAME?</v>
      </c>
      <c r="V89" s="1049" t="e">
        <f ca="1"/>
        <v>#NAME?</v>
      </c>
      <c r="W89" s="1049" t="e">
        <f ca="1"/>
        <v>#NAME?</v>
      </c>
      <c r="X89" s="1049" t="e">
        <f ca="1"/>
        <v>#NAME?</v>
      </c>
      <c r="Y89" s="1062" t="e">
        <f ca="1"/>
        <v>#NAME?</v>
      </c>
      <c r="AO89" s="1052"/>
    </row>
    <row r="90" spans="1:41" ht="15" customHeight="1" x14ac:dyDescent="0.2">
      <c r="A90" s="1068">
        <v>88</v>
      </c>
      <c r="B90" s="1067">
        <f t="shared" si="46"/>
        <v>5.6999999999999975</v>
      </c>
      <c r="C90" s="1052">
        <f t="shared" si="35"/>
        <v>3.0303030303030329</v>
      </c>
      <c r="D90" s="1066">
        <v>0.63</v>
      </c>
      <c r="E90" s="1065" t="e">
        <f ca="1"/>
        <v>#NAME?</v>
      </c>
      <c r="F90" s="1064">
        <f t="shared" si="36"/>
        <v>1.0138976449967472E-2</v>
      </c>
      <c r="G90" s="1049">
        <f t="shared" si="37"/>
        <v>3.0724171060507517E-2</v>
      </c>
      <c r="H90" s="1049">
        <f t="shared" si="38"/>
        <v>9.310354866820468E-2</v>
      </c>
      <c r="I90" s="1049">
        <f t="shared" si="39"/>
        <v>0.2821319656612265</v>
      </c>
      <c r="J90" s="1049">
        <f t="shared" si="40"/>
        <v>0.85494535048856601</v>
      </c>
      <c r="K90" s="1049">
        <f t="shared" si="41"/>
        <v>2.5907434863289902</v>
      </c>
      <c r="L90" s="1049">
        <f t="shared" si="42"/>
        <v>7.8507378373605823</v>
      </c>
      <c r="M90" s="1049">
        <f t="shared" si="43"/>
        <v>23.79011465866845</v>
      </c>
      <c r="N90" s="1049">
        <f t="shared" si="44"/>
        <v>72.091256541419611</v>
      </c>
      <c r="O90" s="1049">
        <f t="shared" si="45"/>
        <v>218.45835315581721</v>
      </c>
      <c r="P90" s="1063" t="e">
        <f ca="1"/>
        <v>#NAME?</v>
      </c>
      <c r="Q90" s="1049" t="e">
        <f ca="1"/>
        <v>#NAME?</v>
      </c>
      <c r="R90" s="1049" t="e">
        <f ca="1"/>
        <v>#NAME?</v>
      </c>
      <c r="S90" s="1049" t="e">
        <f ca="1"/>
        <v>#NAME?</v>
      </c>
      <c r="T90" s="1049" t="e">
        <f ca="1"/>
        <v>#NAME?</v>
      </c>
      <c r="U90" s="1049" t="e">
        <f ca="1"/>
        <v>#NAME?</v>
      </c>
      <c r="V90" s="1049" t="e">
        <f ca="1"/>
        <v>#NAME?</v>
      </c>
      <c r="W90" s="1049" t="e">
        <f ca="1"/>
        <v>#NAME?</v>
      </c>
      <c r="X90" s="1049" t="e">
        <f ca="1"/>
        <v>#NAME?</v>
      </c>
      <c r="Y90" s="1062" t="e">
        <f ca="1"/>
        <v>#NAME?</v>
      </c>
      <c r="AO90" s="1052"/>
    </row>
    <row r="91" spans="1:41" ht="15" customHeight="1" x14ac:dyDescent="0.2">
      <c r="A91" s="1068">
        <v>89</v>
      </c>
      <c r="B91" s="1067">
        <f t="shared" si="46"/>
        <v>5.7999999999999972</v>
      </c>
      <c r="C91" s="1052">
        <f t="shared" si="35"/>
        <v>3.1111111111111138</v>
      </c>
      <c r="D91" s="1066">
        <v>0.97</v>
      </c>
      <c r="E91" s="1065" t="e">
        <f ca="1"/>
        <v>#NAME?</v>
      </c>
      <c r="F91" s="1064">
        <f t="shared" si="36"/>
        <v>7.9109597339301826E-3</v>
      </c>
      <c r="G91" s="1049">
        <f t="shared" si="37"/>
        <v>2.4611874727782812E-2</v>
      </c>
      <c r="H91" s="1049">
        <f t="shared" si="38"/>
        <v>7.6570276930879921E-2</v>
      </c>
      <c r="I91" s="1049">
        <f t="shared" si="39"/>
        <v>0.23821863934051551</v>
      </c>
      <c r="J91" s="1049">
        <f t="shared" si="40"/>
        <v>0.74112465572604891</v>
      </c>
      <c r="K91" s="1049">
        <f t="shared" si="41"/>
        <v>2.3057211511477096</v>
      </c>
      <c r="L91" s="1049">
        <f t="shared" si="42"/>
        <v>7.1733546924595473</v>
      </c>
      <c r="M91" s="1049">
        <f t="shared" si="43"/>
        <v>22.317103487651945</v>
      </c>
      <c r="N91" s="1049">
        <f t="shared" si="44"/>
        <v>69.43098862825056</v>
      </c>
      <c r="O91" s="1049">
        <f t="shared" si="45"/>
        <v>216.00752017677968</v>
      </c>
      <c r="P91" s="1063" t="e">
        <f ca="1"/>
        <v>#NAME?</v>
      </c>
      <c r="Q91" s="1049" t="e">
        <f ca="1"/>
        <v>#NAME?</v>
      </c>
      <c r="R91" s="1049" t="e">
        <f ca="1"/>
        <v>#NAME?</v>
      </c>
      <c r="S91" s="1049" t="e">
        <f ca="1"/>
        <v>#NAME?</v>
      </c>
      <c r="T91" s="1049" t="e">
        <f ca="1"/>
        <v>#NAME?</v>
      </c>
      <c r="U91" s="1049" t="e">
        <f ca="1"/>
        <v>#NAME?</v>
      </c>
      <c r="V91" s="1049" t="e">
        <f ca="1"/>
        <v>#NAME?</v>
      </c>
      <c r="W91" s="1049" t="e">
        <f ca="1"/>
        <v>#NAME?</v>
      </c>
      <c r="X91" s="1049" t="e">
        <f ca="1"/>
        <v>#NAME?</v>
      </c>
      <c r="Y91" s="1062" t="e">
        <f ca="1"/>
        <v>#NAME?</v>
      </c>
      <c r="AO91" s="1052"/>
    </row>
    <row r="92" spans="1:41" ht="15" customHeight="1" x14ac:dyDescent="0.2">
      <c r="A92" s="1068">
        <v>90</v>
      </c>
      <c r="B92" s="1067">
        <f t="shared" si="46"/>
        <v>5.8999999999999968</v>
      </c>
      <c r="C92" s="1052">
        <f t="shared" si="35"/>
        <v>3.1919191919191943</v>
      </c>
      <c r="D92" s="1066">
        <v>0.49000000000000005</v>
      </c>
      <c r="E92" s="1065" t="e">
        <f ca="1"/>
        <v>#NAME?</v>
      </c>
      <c r="F92" s="1064">
        <f t="shared" si="36"/>
        <v>6.1323694892820848E-3</v>
      </c>
      <c r="G92" s="1049">
        <f t="shared" si="37"/>
        <v>1.9574027864779193E-2</v>
      </c>
      <c r="H92" s="1049">
        <f t="shared" si="38"/>
        <v>6.2478715204749791E-2</v>
      </c>
      <c r="I92" s="1049">
        <f t="shared" si="39"/>
        <v>0.19942701014849445</v>
      </c>
      <c r="J92" s="1049">
        <f t="shared" si="40"/>
        <v>0.6365549010800432</v>
      </c>
      <c r="K92" s="1049">
        <f t="shared" si="41"/>
        <v>2.0318318054676143</v>
      </c>
      <c r="L92" s="1049">
        <f t="shared" si="42"/>
        <v>6.4854429346239053</v>
      </c>
      <c r="M92" s="1049">
        <f t="shared" si="43"/>
        <v>20.701009771122784</v>
      </c>
      <c r="N92" s="1049">
        <f t="shared" si="44"/>
        <v>66.075950380553564</v>
      </c>
      <c r="O92" s="1049">
        <f t="shared" si="45"/>
        <v>210.90909414398934</v>
      </c>
      <c r="P92" s="1063" t="e">
        <f ca="1"/>
        <v>#NAME?</v>
      </c>
      <c r="Q92" s="1049" t="e">
        <f ca="1"/>
        <v>#NAME?</v>
      </c>
      <c r="R92" s="1049" t="e">
        <f ca="1"/>
        <v>#NAME?</v>
      </c>
      <c r="S92" s="1049" t="e">
        <f ca="1"/>
        <v>#NAME?</v>
      </c>
      <c r="T92" s="1049" t="e">
        <f ca="1"/>
        <v>#NAME?</v>
      </c>
      <c r="U92" s="1049" t="e">
        <f ca="1"/>
        <v>#NAME?</v>
      </c>
      <c r="V92" s="1049" t="e">
        <f ca="1"/>
        <v>#NAME?</v>
      </c>
      <c r="W92" s="1049" t="e">
        <f ca="1"/>
        <v>#NAME?</v>
      </c>
      <c r="X92" s="1049" t="e">
        <f ca="1"/>
        <v>#NAME?</v>
      </c>
      <c r="Y92" s="1062" t="e">
        <f ca="1"/>
        <v>#NAME?</v>
      </c>
      <c r="AO92" s="1052"/>
    </row>
    <row r="93" spans="1:41" ht="15" customHeight="1" x14ac:dyDescent="0.2">
      <c r="A93" s="1068">
        <v>91</v>
      </c>
      <c r="B93" s="1067">
        <f t="shared" si="46"/>
        <v>5.9999999999999964</v>
      </c>
      <c r="C93" s="1052">
        <f t="shared" si="35"/>
        <v>3.2727272727272747</v>
      </c>
      <c r="D93" s="1066">
        <v>0.45999999999999996</v>
      </c>
      <c r="E93" s="1065" t="e">
        <f ca="1"/>
        <v>#NAME?</v>
      </c>
      <c r="F93" s="1064">
        <f t="shared" si="36"/>
        <v>4.7227127900756729E-3</v>
      </c>
      <c r="G93" s="1049">
        <f t="shared" si="37"/>
        <v>1.5456150949338575E-2</v>
      </c>
      <c r="H93" s="1049">
        <f t="shared" si="38"/>
        <v>5.0583766743289911E-2</v>
      </c>
      <c r="I93" s="1049">
        <f t="shared" si="39"/>
        <v>0.16554687297803983</v>
      </c>
      <c r="J93" s="1049">
        <f t="shared" si="40"/>
        <v>0.54178976610994878</v>
      </c>
      <c r="K93" s="1049">
        <f t="shared" si="41"/>
        <v>1.7731301436325606</v>
      </c>
      <c r="L93" s="1049">
        <f t="shared" si="42"/>
        <v>5.8029713791611108</v>
      </c>
      <c r="M93" s="1049">
        <f t="shared" si="43"/>
        <v>18.991542695436376</v>
      </c>
      <c r="N93" s="1049">
        <f t="shared" si="44"/>
        <v>62.15413973051907</v>
      </c>
      <c r="O93" s="1049">
        <f t="shared" si="45"/>
        <v>203.41354820897163</v>
      </c>
      <c r="P93" s="1063" t="e">
        <f ca="1"/>
        <v>#NAME?</v>
      </c>
      <c r="Q93" s="1049" t="e">
        <f ca="1"/>
        <v>#NAME?</v>
      </c>
      <c r="R93" s="1049" t="e">
        <f ca="1"/>
        <v>#NAME?</v>
      </c>
      <c r="S93" s="1049" t="e">
        <f ca="1"/>
        <v>#NAME?</v>
      </c>
      <c r="T93" s="1049" t="e">
        <f ca="1"/>
        <v>#NAME?</v>
      </c>
      <c r="U93" s="1049" t="e">
        <f ca="1"/>
        <v>#NAME?</v>
      </c>
      <c r="V93" s="1049" t="e">
        <f ca="1"/>
        <v>#NAME?</v>
      </c>
      <c r="W93" s="1049" t="e">
        <f ca="1"/>
        <v>#NAME?</v>
      </c>
      <c r="X93" s="1049" t="e">
        <f ca="1"/>
        <v>#NAME?</v>
      </c>
      <c r="Y93" s="1062" t="e">
        <f ca="1"/>
        <v>#NAME?</v>
      </c>
      <c r="AO93" s="1052"/>
    </row>
    <row r="94" spans="1:41" ht="15" customHeight="1" x14ac:dyDescent="0.2">
      <c r="A94" s="1068">
        <v>92</v>
      </c>
      <c r="B94" s="1067">
        <f t="shared" si="46"/>
        <v>6.0999999999999961</v>
      </c>
      <c r="C94" s="1052">
        <f t="shared" si="35"/>
        <v>3.3535353535353556</v>
      </c>
      <c r="D94" s="1066">
        <v>0.22999999999999998</v>
      </c>
      <c r="E94" s="1065" t="e">
        <f ca="1"/>
        <v>#NAME?</v>
      </c>
      <c r="F94" s="1064">
        <f t="shared" si="36"/>
        <v>3.6134232628502977E-3</v>
      </c>
      <c r="G94" s="1049">
        <f t="shared" si="37"/>
        <v>1.2117742659255552E-2</v>
      </c>
      <c r="H94" s="1049">
        <f t="shared" si="38"/>
        <v>4.0637278412857025E-2</v>
      </c>
      <c r="I94" s="1049">
        <f t="shared" si="39"/>
        <v>0.13627854982897517</v>
      </c>
      <c r="J94" s="1049">
        <f t="shared" si="40"/>
        <v>0.45701493477999783</v>
      </c>
      <c r="K94" s="1049">
        <f t="shared" si="41"/>
        <v>1.5326157408783774</v>
      </c>
      <c r="L94" s="1049">
        <f t="shared" si="42"/>
        <v>5.1396810704204201</v>
      </c>
      <c r="M94" s="1049">
        <f t="shared" si="43"/>
        <v>17.23610217555132</v>
      </c>
      <c r="N94" s="1049">
        <f t="shared" si="44"/>
        <v>57.801878002859013</v>
      </c>
      <c r="O94" s="1049">
        <f t="shared" si="45"/>
        <v>193.84064138332528</v>
      </c>
      <c r="P94" s="1063" t="e">
        <f ca="1"/>
        <v>#NAME?</v>
      </c>
      <c r="Q94" s="1049" t="e">
        <f ca="1"/>
        <v>#NAME?</v>
      </c>
      <c r="R94" s="1049" t="e">
        <f ca="1"/>
        <v>#NAME?</v>
      </c>
      <c r="S94" s="1049" t="e">
        <f ca="1"/>
        <v>#NAME?</v>
      </c>
      <c r="T94" s="1049" t="e">
        <f ca="1"/>
        <v>#NAME?</v>
      </c>
      <c r="U94" s="1049" t="e">
        <f ca="1"/>
        <v>#NAME?</v>
      </c>
      <c r="V94" s="1049" t="e">
        <f ca="1"/>
        <v>#NAME?</v>
      </c>
      <c r="W94" s="1049" t="e">
        <f ca="1"/>
        <v>#NAME?</v>
      </c>
      <c r="X94" s="1049" t="e">
        <f ca="1"/>
        <v>#NAME?</v>
      </c>
      <c r="Y94" s="1062" t="e">
        <f ca="1"/>
        <v>#NAME?</v>
      </c>
      <c r="AO94" s="1052"/>
    </row>
    <row r="95" spans="1:41" ht="15" customHeight="1" x14ac:dyDescent="0.2">
      <c r="A95" s="1068">
        <v>93</v>
      </c>
      <c r="B95" s="1067">
        <f t="shared" si="46"/>
        <v>6.1999999999999957</v>
      </c>
      <c r="C95" s="1052">
        <f t="shared" si="35"/>
        <v>3.434343434343436</v>
      </c>
      <c r="D95" s="1066">
        <v>0.48</v>
      </c>
      <c r="E95" s="1065" t="e">
        <f ca="1"/>
        <v>#NAME?</v>
      </c>
      <c r="F95" s="1064">
        <f t="shared" si="36"/>
        <v>2.7466936149496139E-3</v>
      </c>
      <c r="G95" s="1049">
        <f t="shared" si="37"/>
        <v>9.4330891826552438E-3</v>
      </c>
      <c r="H95" s="1049">
        <f t="shared" si="38"/>
        <v>3.2396467900028127E-2</v>
      </c>
      <c r="I95" s="1049">
        <f t="shared" si="39"/>
        <v>0.11126059682837947</v>
      </c>
      <c r="J95" s="1049">
        <f t="shared" si="40"/>
        <v>0.38210710021867722</v>
      </c>
      <c r="K95" s="1049">
        <f t="shared" si="41"/>
        <v>1.3122870108520233</v>
      </c>
      <c r="L95" s="1049">
        <f t="shared" si="42"/>
        <v>4.5068442796938202</v>
      </c>
      <c r="M95" s="1049">
        <f t="shared" si="43"/>
        <v>15.478051061574741</v>
      </c>
      <c r="N95" s="1049">
        <f t="shared" si="44"/>
        <v>53.15694303975166</v>
      </c>
      <c r="O95" s="1049">
        <f t="shared" si="45"/>
        <v>182.55919831833913</v>
      </c>
      <c r="P95" s="1063" t="e">
        <f ca="1"/>
        <v>#NAME?</v>
      </c>
      <c r="Q95" s="1049" t="e">
        <f ca="1"/>
        <v>#NAME?</v>
      </c>
      <c r="R95" s="1049" t="e">
        <f ca="1"/>
        <v>#NAME?</v>
      </c>
      <c r="S95" s="1049" t="e">
        <f ca="1"/>
        <v>#NAME?</v>
      </c>
      <c r="T95" s="1049" t="e">
        <f ca="1"/>
        <v>#NAME?</v>
      </c>
      <c r="U95" s="1049" t="e">
        <f ca="1"/>
        <v>#NAME?</v>
      </c>
      <c r="V95" s="1049" t="e">
        <f ca="1"/>
        <v>#NAME?</v>
      </c>
      <c r="W95" s="1049" t="e">
        <f ca="1"/>
        <v>#NAME?</v>
      </c>
      <c r="X95" s="1049" t="e">
        <f ca="1"/>
        <v>#NAME?</v>
      </c>
      <c r="Y95" s="1062" t="e">
        <f ca="1"/>
        <v>#NAME?</v>
      </c>
      <c r="AO95" s="1052"/>
    </row>
    <row r="96" spans="1:41" ht="15" customHeight="1" x14ac:dyDescent="0.2">
      <c r="A96" s="1068">
        <v>94</v>
      </c>
      <c r="B96" s="1067">
        <f t="shared" si="46"/>
        <v>6.2999999999999954</v>
      </c>
      <c r="C96" s="1052">
        <f t="shared" si="35"/>
        <v>3.5151515151515165</v>
      </c>
      <c r="D96" s="1066">
        <v>0.5</v>
      </c>
      <c r="E96" s="1065" t="e">
        <f ca="1"/>
        <v>#NAME?</v>
      </c>
      <c r="F96" s="1064">
        <f t="shared" si="36"/>
        <v>2.0742718817600763E-3</v>
      </c>
      <c r="G96" s="1049">
        <f t="shared" si="37"/>
        <v>7.2913799480051195E-3</v>
      </c>
      <c r="H96" s="1049">
        <f t="shared" si="38"/>
        <v>2.5630305271775584E-2</v>
      </c>
      <c r="I96" s="1049">
        <f t="shared" si="39"/>
        <v>9.0094406409877842E-2</v>
      </c>
      <c r="J96" s="1049">
        <f t="shared" si="40"/>
        <v>0.3166954891983586</v>
      </c>
      <c r="K96" s="1049">
        <f t="shared" si="41"/>
        <v>1.1132326286972611</v>
      </c>
      <c r="L96" s="1049">
        <f t="shared" si="42"/>
        <v>3.9131813614812829</v>
      </c>
      <c r="M96" s="1049">
        <f t="shared" si="43"/>
        <v>13.755425391873606</v>
      </c>
      <c r="N96" s="1049">
        <f t="shared" si="44"/>
        <v>48.352404407798154</v>
      </c>
      <c r="O96" s="1049">
        <f t="shared" si="45"/>
        <v>169.96602761529053</v>
      </c>
      <c r="P96" s="1063" t="e">
        <f ca="1"/>
        <v>#NAME?</v>
      </c>
      <c r="Q96" s="1049" t="e">
        <f ca="1"/>
        <v>#NAME?</v>
      </c>
      <c r="R96" s="1049" t="e">
        <f ca="1"/>
        <v>#NAME?</v>
      </c>
      <c r="S96" s="1049" t="e">
        <f ca="1"/>
        <v>#NAME?</v>
      </c>
      <c r="T96" s="1049" t="e">
        <f ca="1"/>
        <v>#NAME?</v>
      </c>
      <c r="U96" s="1049" t="e">
        <f ca="1"/>
        <v>#NAME?</v>
      </c>
      <c r="V96" s="1049" t="e">
        <f ca="1"/>
        <v>#NAME?</v>
      </c>
      <c r="W96" s="1049" t="e">
        <f ca="1"/>
        <v>#NAME?</v>
      </c>
      <c r="X96" s="1049" t="e">
        <f ca="1"/>
        <v>#NAME?</v>
      </c>
      <c r="Y96" s="1062" t="e">
        <f ca="1"/>
        <v>#NAME?</v>
      </c>
      <c r="AO96" s="1052"/>
    </row>
    <row r="97" spans="1:41" ht="15" customHeight="1" x14ac:dyDescent="0.2">
      <c r="A97" s="1068">
        <v>95</v>
      </c>
      <c r="B97" s="1067">
        <f t="shared" si="46"/>
        <v>6.399999999999995</v>
      </c>
      <c r="C97" s="1052">
        <f t="shared" si="35"/>
        <v>3.5959595959595969</v>
      </c>
      <c r="D97" s="1066">
        <v>0.33999999999999997</v>
      </c>
      <c r="E97" s="1065" t="e">
        <f ca="1"/>
        <v>#NAME?</v>
      </c>
      <c r="F97" s="1064">
        <f t="shared" si="36"/>
        <v>1.5562709937429217E-3</v>
      </c>
      <c r="G97" s="1049">
        <f t="shared" si="37"/>
        <v>5.5962876138634368E-3</v>
      </c>
      <c r="H97" s="1049">
        <f t="shared" si="38"/>
        <v>2.0124024146822062E-2</v>
      </c>
      <c r="I97" s="1049">
        <f t="shared" si="39"/>
        <v>7.2365177740087439E-2</v>
      </c>
      <c r="J97" s="1049">
        <f t="shared" si="40"/>
        <v>0.26022225530778925</v>
      </c>
      <c r="K97" s="1049">
        <f t="shared" si="41"/>
        <v>0.93574871605629284</v>
      </c>
      <c r="L97" s="1049">
        <f t="shared" si="42"/>
        <v>3.3649145749094984</v>
      </c>
      <c r="M97" s="1049">
        <f t="shared" si="43"/>
        <v>12.100096855230118</v>
      </c>
      <c r="N97" s="1049">
        <f t="shared" si="44"/>
        <v>43.51145939860529</v>
      </c>
      <c r="O97" s="1049">
        <f t="shared" si="45"/>
        <v>156.46544995862109</v>
      </c>
      <c r="P97" s="1063" t="e">
        <f ca="1"/>
        <v>#NAME?</v>
      </c>
      <c r="Q97" s="1049" t="e">
        <f ca="1"/>
        <v>#NAME?</v>
      </c>
      <c r="R97" s="1049" t="e">
        <f ca="1"/>
        <v>#NAME?</v>
      </c>
      <c r="S97" s="1049" t="e">
        <f ca="1"/>
        <v>#NAME?</v>
      </c>
      <c r="T97" s="1049" t="e">
        <f ca="1"/>
        <v>#NAME?</v>
      </c>
      <c r="U97" s="1049" t="e">
        <f ca="1"/>
        <v>#NAME?</v>
      </c>
      <c r="V97" s="1049" t="e">
        <f ca="1"/>
        <v>#NAME?</v>
      </c>
      <c r="W97" s="1049" t="e">
        <f ca="1"/>
        <v>#NAME?</v>
      </c>
      <c r="X97" s="1049" t="e">
        <f ca="1"/>
        <v>#NAME?</v>
      </c>
      <c r="Y97" s="1062" t="e">
        <f ca="1"/>
        <v>#NAME?</v>
      </c>
      <c r="AO97" s="1052"/>
    </row>
    <row r="98" spans="1:41" ht="15" customHeight="1" x14ac:dyDescent="0.2">
      <c r="A98" s="1068">
        <v>96</v>
      </c>
      <c r="B98" s="1067">
        <f t="shared" si="46"/>
        <v>6.4999999999999947</v>
      </c>
      <c r="C98" s="1052">
        <f t="shared" si="35"/>
        <v>3.6767676767676778</v>
      </c>
      <c r="D98" s="1066">
        <v>0.18</v>
      </c>
      <c r="E98" s="1065" t="e">
        <f ca="1"/>
        <v>#NAME?</v>
      </c>
      <c r="F98" s="1064">
        <f t="shared" si="36"/>
        <v>1.1600289996688878E-3</v>
      </c>
      <c r="G98" s="1049">
        <f t="shared" si="37"/>
        <v>4.2651571300957097E-3</v>
      </c>
      <c r="H98" s="1049">
        <f t="shared" si="38"/>
        <v>1.5681991872271098E-2</v>
      </c>
      <c r="I98" s="1049">
        <f t="shared" si="39"/>
        <v>5.7659040823299812E-2</v>
      </c>
      <c r="J98" s="1049">
        <f t="shared" si="40"/>
        <v>0.21199889757253673</v>
      </c>
      <c r="K98" s="1049">
        <f t="shared" si="41"/>
        <v>0.77947069410508474</v>
      </c>
      <c r="L98" s="1049">
        <f t="shared" si="42"/>
        <v>2.8659326530732416</v>
      </c>
      <c r="M98" s="1049">
        <f t="shared" si="43"/>
        <v>10.537368542612729</v>
      </c>
      <c r="N98" s="1049">
        <f t="shared" si="44"/>
        <v>38.743456055667018</v>
      </c>
      <c r="O98" s="1049">
        <f t="shared" si="45"/>
        <v>142.45068691174544</v>
      </c>
      <c r="P98" s="1063" t="e">
        <f ca="1"/>
        <v>#NAME?</v>
      </c>
      <c r="Q98" s="1049" t="e">
        <f ca="1"/>
        <v>#NAME?</v>
      </c>
      <c r="R98" s="1049" t="e">
        <f ca="1"/>
        <v>#NAME?</v>
      </c>
      <c r="S98" s="1049" t="e">
        <f ca="1"/>
        <v>#NAME?</v>
      </c>
      <c r="T98" s="1049" t="e">
        <f ca="1"/>
        <v>#NAME?</v>
      </c>
      <c r="U98" s="1049" t="e">
        <f ca="1"/>
        <v>#NAME?</v>
      </c>
      <c r="V98" s="1049" t="e">
        <f ca="1"/>
        <v>#NAME?</v>
      </c>
      <c r="W98" s="1049" t="e">
        <f ca="1"/>
        <v>#NAME?</v>
      </c>
      <c r="X98" s="1049" t="e">
        <f ca="1"/>
        <v>#NAME?</v>
      </c>
      <c r="Y98" s="1062" t="e">
        <f ca="1"/>
        <v>#NAME?</v>
      </c>
      <c r="AO98" s="1052"/>
    </row>
    <row r="99" spans="1:41" ht="15" customHeight="1" x14ac:dyDescent="0.2">
      <c r="A99" s="1068">
        <v>97</v>
      </c>
      <c r="B99" s="1067">
        <f t="shared" si="46"/>
        <v>6.5999999999999943</v>
      </c>
      <c r="C99" s="1052">
        <f t="shared" ref="C99:C102" si="47">(B99-B$103)/B$104*E$104</f>
        <v>3.7575757575757582</v>
      </c>
      <c r="D99" s="1066">
        <v>0.57000000000000006</v>
      </c>
      <c r="E99" s="1065" t="e">
        <f ca="1"/>
        <v>#NAME?</v>
      </c>
      <c r="F99" s="1064">
        <f t="shared" si="36"/>
        <v>8.5904625755320308E-4</v>
      </c>
      <c r="G99" s="1049">
        <f t="shared" si="37"/>
        <v>3.2279313920180971E-3</v>
      </c>
      <c r="H99" s="1049">
        <f t="shared" si="38"/>
        <v>1.2129196745764972E-2</v>
      </c>
      <c r="I99" s="1049">
        <f t="shared" si="39"/>
        <v>4.5576375650753238E-2</v>
      </c>
      <c r="J99" s="1049">
        <f t="shared" si="40"/>
        <v>0.17125668426343643</v>
      </c>
      <c r="K99" s="1049">
        <f t="shared" si="41"/>
        <v>0.64350996511109471</v>
      </c>
      <c r="L99" s="1049">
        <f t="shared" si="42"/>
        <v>2.4180374446598711</v>
      </c>
      <c r="M99" s="1049">
        <f t="shared" si="43"/>
        <v>9.0859588829643663</v>
      </c>
      <c r="N99" s="1049">
        <f t="shared" si="44"/>
        <v>34.141178832957017</v>
      </c>
      <c r="O99" s="1049">
        <f t="shared" si="45"/>
        <v>128.28806591777791</v>
      </c>
      <c r="P99" s="1063" t="e">
        <f ca="1"/>
        <v>#NAME?</v>
      </c>
      <c r="Q99" s="1049" t="e">
        <f ca="1"/>
        <v>#NAME?</v>
      </c>
      <c r="R99" s="1049" t="e">
        <f ca="1"/>
        <v>#NAME?</v>
      </c>
      <c r="S99" s="1049" t="e">
        <f ca="1"/>
        <v>#NAME?</v>
      </c>
      <c r="T99" s="1049" t="e">
        <f ca="1"/>
        <v>#NAME?</v>
      </c>
      <c r="U99" s="1049" t="e">
        <f ca="1"/>
        <v>#NAME?</v>
      </c>
      <c r="V99" s="1049" t="e">
        <f ca="1"/>
        <v>#NAME?</v>
      </c>
      <c r="W99" s="1049" t="e">
        <f ca="1"/>
        <v>#NAME?</v>
      </c>
      <c r="X99" s="1049" t="e">
        <f ca="1"/>
        <v>#NAME?</v>
      </c>
      <c r="Y99" s="1062" t="e">
        <f ca="1"/>
        <v>#NAME?</v>
      </c>
      <c r="AO99" s="1052"/>
    </row>
    <row r="100" spans="1:41" ht="15" customHeight="1" x14ac:dyDescent="0.2">
      <c r="A100" s="1068">
        <v>98</v>
      </c>
      <c r="B100" s="1067">
        <f t="shared" si="46"/>
        <v>6.699999999999994</v>
      </c>
      <c r="C100" s="1052">
        <f t="shared" si="47"/>
        <v>3.8383838383838387</v>
      </c>
      <c r="D100" s="1066">
        <v>0</v>
      </c>
      <c r="E100" s="1065" t="e">
        <f ca="1"/>
        <v>#NAME?</v>
      </c>
      <c r="F100" s="1064">
        <f t="shared" si="36"/>
        <v>6.3201638066275165E-4</v>
      </c>
      <c r="G100" s="1049">
        <f t="shared" si="37"/>
        <v>2.4259214611297539E-3</v>
      </c>
      <c r="H100" s="1049">
        <f t="shared" si="38"/>
        <v>9.3116177295889564E-3</v>
      </c>
      <c r="I100" s="1049">
        <f t="shared" si="39"/>
        <v>3.5741563002462659E-2</v>
      </c>
      <c r="J100" s="1049">
        <f t="shared" si="40"/>
        <v>0.13718983778723043</v>
      </c>
      <c r="K100" s="1049">
        <f t="shared" si="41"/>
        <v>0.52658725615300572</v>
      </c>
      <c r="L100" s="1049">
        <f t="shared" si="42"/>
        <v>2.0212440135165881</v>
      </c>
      <c r="M100" s="1049">
        <f t="shared" si="43"/>
        <v>7.7583103549121564</v>
      </c>
      <c r="N100" s="1049">
        <f t="shared" si="44"/>
        <v>29.779373079460807</v>
      </c>
      <c r="O100" s="1049">
        <f t="shared" si="45"/>
        <v>114.30466434540513</v>
      </c>
      <c r="P100" s="1063" t="e">
        <f ca="1"/>
        <v>#NAME?</v>
      </c>
      <c r="Q100" s="1049" t="e">
        <f ca="1"/>
        <v>#NAME?</v>
      </c>
      <c r="R100" s="1049" t="e">
        <f ca="1"/>
        <v>#NAME?</v>
      </c>
      <c r="S100" s="1049" t="e">
        <f ca="1"/>
        <v>#NAME?</v>
      </c>
      <c r="T100" s="1049" t="e">
        <f ca="1"/>
        <v>#NAME?</v>
      </c>
      <c r="U100" s="1049" t="e">
        <f ca="1"/>
        <v>#NAME?</v>
      </c>
      <c r="V100" s="1049" t="e">
        <f ca="1"/>
        <v>#NAME?</v>
      </c>
      <c r="W100" s="1049" t="e">
        <f ca="1"/>
        <v>#NAME?</v>
      </c>
      <c r="X100" s="1049" t="e">
        <f ca="1"/>
        <v>#NAME?</v>
      </c>
      <c r="Y100" s="1062" t="e">
        <f ca="1"/>
        <v>#NAME?</v>
      </c>
      <c r="AO100" s="1052"/>
    </row>
    <row r="101" spans="1:41" ht="15" customHeight="1" x14ac:dyDescent="0.2">
      <c r="A101" s="1068">
        <v>99</v>
      </c>
      <c r="B101" s="1067">
        <f t="shared" si="46"/>
        <v>6.7999999999999936</v>
      </c>
      <c r="C101" s="1052">
        <f t="shared" si="47"/>
        <v>3.9191919191919196</v>
      </c>
      <c r="D101" s="1066">
        <v>0.45999999999999996</v>
      </c>
      <c r="E101" s="1065" t="e">
        <f ca="1"/>
        <v>#NAME?</v>
      </c>
      <c r="F101" s="1064">
        <f t="shared" si="36"/>
        <v>4.6195981567234533E-4</v>
      </c>
      <c r="G101" s="1049">
        <f t="shared" si="37"/>
        <v>1.8105091765744444E-3</v>
      </c>
      <c r="H101" s="1049">
        <f t="shared" si="38"/>
        <v>7.0957329344533788E-3</v>
      </c>
      <c r="I101" s="1049">
        <f t="shared" si="39"/>
        <v>2.780953917745365E-2</v>
      </c>
      <c r="J101" s="1049">
        <f t="shared" si="40"/>
        <v>0.10899092122072744</v>
      </c>
      <c r="K101" s="1049">
        <f t="shared" si="41"/>
        <v>0.4271563377135581</v>
      </c>
      <c r="L101" s="1049">
        <f t="shared" si="42"/>
        <v>1.6741076669985915</v>
      </c>
      <c r="M101" s="1049">
        <f t="shared" si="43"/>
        <v>6.5611492403581169</v>
      </c>
      <c r="N101" s="1049">
        <f t="shared" si="44"/>
        <v>25.714403083423733</v>
      </c>
      <c r="O101" s="1049">
        <f t="shared" si="45"/>
        <v>100.77968077139806</v>
      </c>
      <c r="P101" s="1063" t="e">
        <f ca="1"/>
        <v>#NAME?</v>
      </c>
      <c r="Q101" s="1049" t="e">
        <f ca="1"/>
        <v>#NAME?</v>
      </c>
      <c r="R101" s="1049" t="e">
        <f ca="1"/>
        <v>#NAME?</v>
      </c>
      <c r="S101" s="1049" t="e">
        <f ca="1"/>
        <v>#NAME?</v>
      </c>
      <c r="T101" s="1049" t="e">
        <f ca="1"/>
        <v>#NAME?</v>
      </c>
      <c r="U101" s="1049" t="e">
        <f ca="1"/>
        <v>#NAME?</v>
      </c>
      <c r="V101" s="1049" t="e">
        <f ca="1"/>
        <v>#NAME?</v>
      </c>
      <c r="W101" s="1049" t="e">
        <f ca="1"/>
        <v>#NAME?</v>
      </c>
      <c r="X101" s="1049" t="e">
        <f ca="1"/>
        <v>#NAME?</v>
      </c>
      <c r="Y101" s="1062" t="e">
        <f ca="1"/>
        <v>#NAME?</v>
      </c>
      <c r="AO101" s="1052"/>
    </row>
    <row r="102" spans="1:41" ht="15" customHeight="1" x14ac:dyDescent="0.2">
      <c r="A102" s="1061">
        <v>100</v>
      </c>
      <c r="B102" s="1060">
        <f t="shared" si="46"/>
        <v>6.8999999999999932</v>
      </c>
      <c r="C102" s="1052">
        <f t="shared" si="47"/>
        <v>4</v>
      </c>
      <c r="D102" s="1059">
        <v>0.48</v>
      </c>
      <c r="E102" s="1058" t="e">
        <f ca="1"/>
        <v>#NAME?</v>
      </c>
      <c r="F102" s="1057">
        <f t="shared" si="36"/>
        <v>3.3546262790251185E-4</v>
      </c>
      <c r="G102" s="1055">
        <f t="shared" si="37"/>
        <v>1.3418505116100474E-3</v>
      </c>
      <c r="H102" s="1055">
        <f t="shared" si="38"/>
        <v>5.3674020464401897E-3</v>
      </c>
      <c r="I102" s="1055">
        <f t="shared" si="39"/>
        <v>2.1469608185760759E-2</v>
      </c>
      <c r="J102" s="1055">
        <f t="shared" si="40"/>
        <v>8.5878432743043034E-2</v>
      </c>
      <c r="K102" s="1055">
        <f t="shared" si="41"/>
        <v>0.34351373097217214</v>
      </c>
      <c r="L102" s="1055">
        <f t="shared" si="42"/>
        <v>1.3740549238886886</v>
      </c>
      <c r="M102" s="1055">
        <f t="shared" si="43"/>
        <v>5.4962196955547542</v>
      </c>
      <c r="N102" s="1055">
        <f t="shared" si="44"/>
        <v>21.984878782219017</v>
      </c>
      <c r="O102" s="1055">
        <f t="shared" si="45"/>
        <v>87.939515128876067</v>
      </c>
      <c r="P102" s="1056" t="e">
        <f ca="1"/>
        <v>#NAME?</v>
      </c>
      <c r="Q102" s="1055" t="e">
        <f ca="1"/>
        <v>#NAME?</v>
      </c>
      <c r="R102" s="1055" t="e">
        <f ca="1"/>
        <v>#NAME?</v>
      </c>
      <c r="S102" s="1055" t="e">
        <f ca="1"/>
        <v>#NAME?</v>
      </c>
      <c r="T102" s="1055" t="e">
        <f ca="1"/>
        <v>#NAME?</v>
      </c>
      <c r="U102" s="1055" t="e">
        <f ca="1"/>
        <v>#NAME?</v>
      </c>
      <c r="V102" s="1055" t="e">
        <f ca="1"/>
        <v>#NAME?</v>
      </c>
      <c r="W102" s="1055" t="e">
        <f ca="1"/>
        <v>#NAME?</v>
      </c>
      <c r="X102" s="1055" t="e">
        <f ca="1"/>
        <v>#NAME?</v>
      </c>
      <c r="Y102" s="1054" t="e">
        <f ca="1"/>
        <v>#NAME?</v>
      </c>
      <c r="AO102" s="1052"/>
    </row>
    <row r="103" spans="1:41" ht="15" customHeight="1" x14ac:dyDescent="0.2">
      <c r="B103" s="1049">
        <f>(B102+B3)/2</f>
        <v>1.9499999999999966</v>
      </c>
      <c r="C103" s="1053">
        <f>(C102+C3)/2</f>
        <v>0</v>
      </c>
      <c r="E103" s="1106" t="s">
        <v>496</v>
      </c>
      <c r="F103" s="1085"/>
      <c r="AO103" s="1052"/>
    </row>
    <row r="104" spans="1:41" ht="15" customHeight="1" x14ac:dyDescent="0.2">
      <c r="B104" s="1052">
        <f>(B102-B3)/2</f>
        <v>4.9499999999999966</v>
      </c>
      <c r="C104" s="1052">
        <f>(C102-C3)/2</f>
        <v>4</v>
      </c>
      <c r="E104" s="1105">
        <v>4</v>
      </c>
    </row>
  </sheetData>
  <mergeCells count="8">
    <mergeCell ref="A1:D1"/>
    <mergeCell ref="F1:O1"/>
    <mergeCell ref="P1:Y1"/>
    <mergeCell ref="Z39:AH39"/>
    <mergeCell ref="Z36:AB36"/>
    <mergeCell ref="Z1:AJ1"/>
    <mergeCell ref="Z13:AJ13"/>
    <mergeCell ref="Z24:AH24"/>
  </mergeCells>
  <conditionalFormatting sqref="Z1 AA2:AJ12 Z13 AA14:AJ23">
    <cfRule type="cellIs" dxfId="74" priority="2" operator="between">
      <formula>-0.0001</formula>
      <formula>0.0001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0C40A-9112-4147-B22F-C6D27F84AD36}">
  <dimension ref="A1:I16"/>
  <sheetViews>
    <sheetView zoomScaleNormal="100" workbookViewId="0">
      <selection activeCell="I3" sqref="I3"/>
    </sheetView>
  </sheetViews>
  <sheetFormatPr baseColWidth="10" defaultColWidth="6.83203125" defaultRowHeight="16" x14ac:dyDescent="0.2"/>
  <cols>
    <col min="1" max="1" width="4.83203125" style="36" customWidth="1"/>
    <col min="2" max="6" width="6.83203125" style="36"/>
    <col min="7" max="9" width="6.83203125" style="36" customWidth="1"/>
    <col min="10" max="16384" width="6.83203125" style="36"/>
  </cols>
  <sheetData>
    <row r="1" spans="1:9" x14ac:dyDescent="0.2">
      <c r="E1" s="1328" t="s">
        <v>14</v>
      </c>
      <c r="F1" s="1315"/>
      <c r="G1" s="1315"/>
      <c r="H1" s="1316"/>
    </row>
    <row r="2" spans="1:9" ht="18" x14ac:dyDescent="0.2">
      <c r="A2" s="1035" t="s">
        <v>10</v>
      </c>
      <c r="B2" s="1034" t="s">
        <v>315</v>
      </c>
      <c r="C2" s="969" t="s">
        <v>219</v>
      </c>
      <c r="D2" s="1033"/>
      <c r="E2" s="1034" t="s">
        <v>482</v>
      </c>
      <c r="F2" s="1033" t="s">
        <v>481</v>
      </c>
      <c r="G2" s="1033" t="s">
        <v>480</v>
      </c>
      <c r="H2" s="1036" t="s">
        <v>479</v>
      </c>
      <c r="I2" s="1035" t="s">
        <v>39</v>
      </c>
    </row>
    <row r="3" spans="1:9" x14ac:dyDescent="0.2">
      <c r="A3" s="39">
        <v>1</v>
      </c>
      <c r="B3" s="523">
        <v>0.16787653562006644</v>
      </c>
      <c r="C3" s="124">
        <v>1.0050987220414138</v>
      </c>
      <c r="D3" s="522" t="e">
        <f t="array" aca="1" ref="D3:D11" ca="1">MMULT(E3:H11,I3:I6)</f>
        <v>#NAME?</v>
      </c>
      <c r="E3" s="87">
        <v>1</v>
      </c>
      <c r="F3" s="522">
        <f t="shared" ref="F3:F11" si="0">B3</f>
        <v>0.16787653562006644</v>
      </c>
      <c r="G3" s="522">
        <f t="shared" ref="G3:G11" si="1">F3^2</f>
        <v>2.8182531211795436E-2</v>
      </c>
      <c r="H3" s="517">
        <f t="shared" ref="H3:H11" si="2">F3^3</f>
        <v>4.731185704840611E-3</v>
      </c>
      <c r="I3" s="37" t="e">
        <f t="array" aca="1" ref="I3:I6" ca="1">MMULT([5]!PseudoInv(E3:H11),C3:C11)</f>
        <v>#NAME?</v>
      </c>
    </row>
    <row r="4" spans="1:9" x14ac:dyDescent="0.2">
      <c r="A4" s="448">
        <v>2</v>
      </c>
      <c r="B4" s="514">
        <v>0.2375046813667212</v>
      </c>
      <c r="C4" s="37">
        <v>1.2883431116447115</v>
      </c>
      <c r="D4" s="36" t="e">
        <f ca="1"/>
        <v>#NAME?</v>
      </c>
      <c r="E4" s="89">
        <v>1</v>
      </c>
      <c r="F4" s="36">
        <f t="shared" si="0"/>
        <v>0.2375046813667212</v>
      </c>
      <c r="G4" s="36">
        <f t="shared" si="1"/>
        <v>5.6408473671107767E-2</v>
      </c>
      <c r="H4" s="35">
        <f t="shared" si="2"/>
        <v>1.3397276565639533E-2</v>
      </c>
      <c r="I4" s="37" t="e">
        <f ca="1"/>
        <v>#NAME?</v>
      </c>
    </row>
    <row r="5" spans="1:9" x14ac:dyDescent="0.2">
      <c r="A5" s="448">
        <v>3</v>
      </c>
      <c r="B5" s="514">
        <v>0.51221045556177658</v>
      </c>
      <c r="C5" s="37">
        <v>1.8407141091919279</v>
      </c>
      <c r="D5" s="36" t="e">
        <f ca="1"/>
        <v>#NAME?</v>
      </c>
      <c r="E5" s="89">
        <v>1</v>
      </c>
      <c r="F5" s="36">
        <f t="shared" si="0"/>
        <v>0.51221045556177658</v>
      </c>
      <c r="G5" s="36">
        <f t="shared" si="1"/>
        <v>0.26235955078680268</v>
      </c>
      <c r="H5" s="35">
        <f t="shared" si="2"/>
        <v>0.13438330502949125</v>
      </c>
      <c r="I5" s="37" t="e">
        <f ca="1"/>
        <v>#NAME?</v>
      </c>
    </row>
    <row r="6" spans="1:9" x14ac:dyDescent="0.2">
      <c r="A6" s="448">
        <v>4</v>
      </c>
      <c r="B6" s="514">
        <v>0.61183557276815637</v>
      </c>
      <c r="C6" s="37">
        <v>1.8493019874703363</v>
      </c>
      <c r="D6" s="36" t="e">
        <f ca="1"/>
        <v>#NAME?</v>
      </c>
      <c r="E6" s="89">
        <v>1</v>
      </c>
      <c r="F6" s="36">
        <f t="shared" si="0"/>
        <v>0.61183557276815637</v>
      </c>
      <c r="G6" s="36">
        <f t="shared" si="1"/>
        <v>0.37434276810453798</v>
      </c>
      <c r="H6" s="35">
        <f t="shared" si="2"/>
        <v>0.22903622193485712</v>
      </c>
      <c r="I6" s="66" t="e">
        <f ca="1"/>
        <v>#NAME?</v>
      </c>
    </row>
    <row r="7" spans="1:9" x14ac:dyDescent="0.2">
      <c r="A7" s="448">
        <v>5</v>
      </c>
      <c r="B7" s="514">
        <v>0.81883145742463803</v>
      </c>
      <c r="C7" s="37">
        <v>2.0629778224645832</v>
      </c>
      <c r="D7" s="36" t="e">
        <f ca="1"/>
        <v>#NAME?</v>
      </c>
      <c r="E7" s="89">
        <v>1</v>
      </c>
      <c r="F7" s="36">
        <f t="shared" si="0"/>
        <v>0.81883145742463803</v>
      </c>
      <c r="G7" s="36">
        <f t="shared" si="1"/>
        <v>0.6704849556681568</v>
      </c>
      <c r="H7" s="35">
        <f t="shared" si="2"/>
        <v>0.54901417343105063</v>
      </c>
    </row>
    <row r="8" spans="1:9" x14ac:dyDescent="0.2">
      <c r="A8" s="448">
        <v>6</v>
      </c>
      <c r="B8" s="514">
        <v>1.2603404804249532</v>
      </c>
      <c r="C8" s="37">
        <v>3.2989244310592651</v>
      </c>
      <c r="D8" s="36" t="e">
        <f ca="1"/>
        <v>#NAME?</v>
      </c>
      <c r="E8" s="89">
        <v>1</v>
      </c>
      <c r="F8" s="36">
        <f t="shared" si="0"/>
        <v>1.2603404804249532</v>
      </c>
      <c r="G8" s="36">
        <f t="shared" si="1"/>
        <v>1.5884581265978017</v>
      </c>
      <c r="H8" s="35">
        <f t="shared" si="2"/>
        <v>2.0019980784111944</v>
      </c>
    </row>
    <row r="9" spans="1:9" x14ac:dyDescent="0.2">
      <c r="A9" s="448">
        <v>7</v>
      </c>
      <c r="B9" s="514">
        <v>1.7571460305535092</v>
      </c>
      <c r="C9" s="37">
        <v>1.6808719838932151</v>
      </c>
      <c r="D9" s="36" t="e">
        <f ca="1"/>
        <v>#NAME?</v>
      </c>
      <c r="E9" s="89">
        <v>1</v>
      </c>
      <c r="F9" s="36">
        <f t="shared" si="0"/>
        <v>1.7571460305535092</v>
      </c>
      <c r="G9" s="36">
        <f t="shared" si="1"/>
        <v>3.0875621726899536</v>
      </c>
      <c r="H9" s="35">
        <f t="shared" si="2"/>
        <v>5.4252976158293205</v>
      </c>
    </row>
    <row r="10" spans="1:9" x14ac:dyDescent="0.2">
      <c r="A10" s="448">
        <v>8</v>
      </c>
      <c r="B10" s="514">
        <v>1.7664273512001727</v>
      </c>
      <c r="C10" s="37">
        <v>1.4146678785234994</v>
      </c>
      <c r="D10" s="36" t="e">
        <f ca="1"/>
        <v>#NAME?</v>
      </c>
      <c r="E10" s="89">
        <v>1</v>
      </c>
      <c r="F10" s="36">
        <f t="shared" si="0"/>
        <v>1.7664273512001727</v>
      </c>
      <c r="G10" s="36">
        <f t="shared" si="1"/>
        <v>3.120265587068058</v>
      </c>
      <c r="H10" s="35">
        <f t="shared" si="2"/>
        <v>5.5117224760056818</v>
      </c>
    </row>
    <row r="11" spans="1:9" x14ac:dyDescent="0.2">
      <c r="A11" s="95">
        <v>9</v>
      </c>
      <c r="B11" s="512">
        <v>1.8791473676106634</v>
      </c>
      <c r="C11" s="66">
        <v>-4.7016861114032769E-2</v>
      </c>
      <c r="D11" s="65" t="e">
        <f ca="1"/>
        <v>#NAME?</v>
      </c>
      <c r="E11" s="75">
        <v>1</v>
      </c>
      <c r="F11" s="65">
        <f t="shared" si="0"/>
        <v>1.8791473676106634</v>
      </c>
      <c r="G11" s="65">
        <f t="shared" si="1"/>
        <v>3.5311948291980855</v>
      </c>
      <c r="H11" s="64">
        <f t="shared" si="2"/>
        <v>6.6356354678079681</v>
      </c>
    </row>
    <row r="12" spans="1:9" x14ac:dyDescent="0.2">
      <c r="A12" s="1328" t="s">
        <v>27</v>
      </c>
      <c r="B12" s="1315"/>
      <c r="C12" s="1315"/>
      <c r="D12" s="1315"/>
      <c r="E12" s="1315"/>
      <c r="F12" s="1316"/>
    </row>
    <row r="13" spans="1:9" x14ac:dyDescent="0.2">
      <c r="A13" s="1034" t="s">
        <v>47</v>
      </c>
      <c r="B13" s="1033" t="s">
        <v>30</v>
      </c>
      <c r="C13" s="1033" t="s">
        <v>31</v>
      </c>
      <c r="D13" s="1033" t="s">
        <v>32</v>
      </c>
      <c r="E13" s="1032" t="s">
        <v>3</v>
      </c>
      <c r="F13" s="1031" t="s">
        <v>33</v>
      </c>
    </row>
    <row r="14" spans="1:9" x14ac:dyDescent="0.2">
      <c r="A14" s="1030" t="s">
        <v>5</v>
      </c>
      <c r="B14" s="36" t="e">
        <f ca="1">SUMSQ(D3:D11)-COUNT(C3:C11)*AVERAGE(C3:C11)^2</f>
        <v>#NAME?</v>
      </c>
      <c r="C14" s="94">
        <f ca="1">COUNT(I3:I6)-1</f>
        <v>-1</v>
      </c>
      <c r="D14" s="36" t="e">
        <f ca="1">B14/C14</f>
        <v>#NAME?</v>
      </c>
      <c r="E14" s="36" t="e">
        <f ca="1">D14/D15</f>
        <v>#NAME?</v>
      </c>
      <c r="F14" s="651" t="e">
        <f ca="1">FDIST(E14,C14,C15)</f>
        <v>#NAME?</v>
      </c>
    </row>
    <row r="15" spans="1:9" x14ac:dyDescent="0.2">
      <c r="A15" s="1029" t="s">
        <v>6</v>
      </c>
      <c r="B15" s="65" t="e">
        <f ca="1">SUMSQ(C3:C11)-SUMSQ(D3:D11)</f>
        <v>#NAME?</v>
      </c>
      <c r="C15" s="96">
        <f ca="1">COUNT(C3:C11)-COUNT(I3:I6)</f>
        <v>9</v>
      </c>
      <c r="D15" s="36" t="e">
        <f ca="1">B15/C15</f>
        <v>#NAME?</v>
      </c>
      <c r="F15" s="37"/>
    </row>
    <row r="16" spans="1:9" x14ac:dyDescent="0.2">
      <c r="A16" s="1029" t="s">
        <v>7</v>
      </c>
      <c r="B16" s="65">
        <f>SUMSQ(C3:C11)-COUNT(C3:C11)*AVERAGE(C3:C11)^2</f>
        <v>6.4253736529953045</v>
      </c>
      <c r="C16" s="96">
        <f>COUNT(C3:C11)-1</f>
        <v>8</v>
      </c>
      <c r="D16" s="65"/>
      <c r="E16" s="65"/>
      <c r="F16" s="66"/>
    </row>
  </sheetData>
  <mergeCells count="2">
    <mergeCell ref="A12:F12"/>
    <mergeCell ref="E1:H1"/>
  </mergeCells>
  <pageMargins left="0.7" right="0.7" top="0.75" bottom="0.75" header="0.3" footer="0.3"/>
  <pageSetup orientation="portrait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EC913-08C4-4CD9-AF11-60592A8BC74C}">
  <dimension ref="A1:M23"/>
  <sheetViews>
    <sheetView zoomScaleNormal="100" workbookViewId="0">
      <selection activeCell="C7" sqref="C7"/>
    </sheetView>
  </sheetViews>
  <sheetFormatPr baseColWidth="10" defaultColWidth="6.83203125" defaultRowHeight="16" x14ac:dyDescent="0.2"/>
  <cols>
    <col min="1" max="1" width="6.83203125" style="36" customWidth="1"/>
    <col min="2" max="6" width="6.83203125" style="36"/>
    <col min="7" max="9" width="6.83203125" style="36" customWidth="1"/>
    <col min="10" max="10" width="6.83203125" style="36"/>
    <col min="12" max="16384" width="6.83203125" style="36"/>
  </cols>
  <sheetData>
    <row r="1" spans="1:13" ht="18" x14ac:dyDescent="0.2">
      <c r="A1" s="1328" t="s">
        <v>27</v>
      </c>
      <c r="B1" s="1329"/>
      <c r="C1" s="1329"/>
      <c r="D1" s="1329"/>
      <c r="E1" s="1329"/>
      <c r="F1" s="1330"/>
      <c r="G1" s="1048" t="s">
        <v>35</v>
      </c>
      <c r="H1" s="129">
        <v>0</v>
      </c>
      <c r="I1" s="472">
        <v>1</v>
      </c>
      <c r="J1" s="472">
        <v>2</v>
      </c>
      <c r="K1" s="666">
        <v>3</v>
      </c>
    </row>
    <row r="2" spans="1:13" x14ac:dyDescent="0.2">
      <c r="A2" s="1034" t="s">
        <v>47</v>
      </c>
      <c r="B2" s="1033" t="s">
        <v>30</v>
      </c>
      <c r="C2" s="1033" t="s">
        <v>31</v>
      </c>
      <c r="D2" s="1033" t="s">
        <v>32</v>
      </c>
      <c r="E2" s="1032" t="s">
        <v>3</v>
      </c>
      <c r="F2" s="1031" t="s">
        <v>33</v>
      </c>
      <c r="G2" s="518">
        <v>0</v>
      </c>
      <c r="H2" s="736">
        <f t="array" ref="H2:K5">MMULT(TRANSPOSE('10.7-1'!X),'10.7-1'!X)</f>
        <v>9</v>
      </c>
      <c r="I2" s="735">
        <v>9.0113199325306574</v>
      </c>
      <c r="J2" s="735">
        <v>12.719258994996299</v>
      </c>
      <c r="K2" s="734">
        <v>20.505215800720045</v>
      </c>
      <c r="M2"/>
    </row>
    <row r="3" spans="1:13" x14ac:dyDescent="0.2">
      <c r="A3" s="1030" t="s">
        <v>5</v>
      </c>
      <c r="B3" s="36" t="e">
        <f ca="1">'10.7-1'!B14</f>
        <v>#NAME?</v>
      </c>
      <c r="C3" s="94">
        <f ca="1">'10.7-1'!C14</f>
        <v>-1</v>
      </c>
      <c r="D3" s="36" t="e">
        <f ca="1">'10.7-1'!D14</f>
        <v>#NAME?</v>
      </c>
      <c r="E3" s="36" t="e">
        <f ca="1">'10.7-1'!E14</f>
        <v>#NAME?</v>
      </c>
      <c r="F3" s="651" t="e">
        <f ca="1">'10.7-1'!F14</f>
        <v>#NAME?</v>
      </c>
      <c r="G3" s="515">
        <v>1</v>
      </c>
      <c r="H3" s="728">
        <v>9.0113199325306574</v>
      </c>
      <c r="I3" s="727">
        <v>12.719258994996299</v>
      </c>
      <c r="J3" s="727">
        <v>20.505215800720045</v>
      </c>
      <c r="K3" s="726">
        <v>34.924124934442929</v>
      </c>
      <c r="M3"/>
    </row>
    <row r="4" spans="1:13" x14ac:dyDescent="0.2">
      <c r="A4" s="1029" t="s">
        <v>6</v>
      </c>
      <c r="B4" s="65" t="e">
        <f ca="1">'10.7-1'!B15</f>
        <v>#NAME?</v>
      </c>
      <c r="C4" s="96">
        <f ca="1">'10.7-1'!C15</f>
        <v>9</v>
      </c>
      <c r="D4" s="65" t="e">
        <f ca="1">'10.7-1'!D15</f>
        <v>#NAME?</v>
      </c>
      <c r="F4" s="37"/>
      <c r="G4" s="515">
        <v>2</v>
      </c>
      <c r="H4" s="728">
        <v>12.719258994996299</v>
      </c>
      <c r="I4" s="727">
        <v>20.505215800720045</v>
      </c>
      <c r="J4" s="727">
        <v>34.924124934442929</v>
      </c>
      <c r="K4" s="726">
        <v>61.050783028323444</v>
      </c>
      <c r="M4"/>
    </row>
    <row r="5" spans="1:13" ht="18" x14ac:dyDescent="0.25">
      <c r="A5" s="1029" t="s">
        <v>7</v>
      </c>
      <c r="B5" s="65">
        <f>'10.7-1'!B16</f>
        <v>6.4253736529953045</v>
      </c>
      <c r="C5" s="96">
        <f>'10.7-1'!C16</f>
        <v>8</v>
      </c>
      <c r="D5" s="65"/>
      <c r="E5" s="1047" t="s">
        <v>487</v>
      </c>
      <c r="F5" s="66" t="e">
        <f ca="1">SQRT(D3)</f>
        <v>#NAME?</v>
      </c>
      <c r="G5" s="513">
        <v>3</v>
      </c>
      <c r="H5" s="1038">
        <v>20.505215800720045</v>
      </c>
      <c r="I5" s="1037">
        <v>34.924124934442929</v>
      </c>
      <c r="J5" s="1037">
        <v>61.050783028323444</v>
      </c>
      <c r="K5" s="811">
        <v>108.22472813781727</v>
      </c>
      <c r="M5"/>
    </row>
    <row r="6" spans="1:13" ht="19" x14ac:dyDescent="0.25">
      <c r="A6" s="1046" t="s">
        <v>47</v>
      </c>
      <c r="B6" s="1035" t="s">
        <v>39</v>
      </c>
      <c r="C6" s="1045" t="s">
        <v>486</v>
      </c>
      <c r="D6" s="1032" t="s">
        <v>43</v>
      </c>
      <c r="E6" s="1031" t="s">
        <v>33</v>
      </c>
      <c r="G6" s="1044" t="s">
        <v>40</v>
      </c>
      <c r="H6" s="1043" t="s">
        <v>482</v>
      </c>
      <c r="I6" s="1042" t="s">
        <v>481</v>
      </c>
      <c r="J6" s="1042" t="s">
        <v>480</v>
      </c>
      <c r="K6" s="1036" t="s">
        <v>479</v>
      </c>
      <c r="M6"/>
    </row>
    <row r="7" spans="1:13" ht="19" x14ac:dyDescent="0.25">
      <c r="A7" s="518" t="s">
        <v>376</v>
      </c>
      <c r="B7" s="37" t="e">
        <f ca="1">'10.7-1'!I3</f>
        <v>#NAME?</v>
      </c>
      <c r="C7" s="523" t="e">
        <f t="array" aca="1" ref="C7:C10" ca="1">SQRT([5]!DIAG(H7:K10)*D4)</f>
        <v>#NAME?</v>
      </c>
      <c r="D7" s="522" t="e">
        <f ca="1">B7/C7</f>
        <v>#NAME?</v>
      </c>
      <c r="E7" s="642" t="e">
        <f ca="1">TDIST(ABS(D7),C$4,2)</f>
        <v>#NAME?</v>
      </c>
      <c r="G7" s="1041" t="s">
        <v>482</v>
      </c>
      <c r="H7" s="736">
        <f t="array" ref="H7:K10">MINVERSE(H2:K5)</f>
        <v>2.8494603605259945</v>
      </c>
      <c r="I7" s="735">
        <v>-11.950642149516002</v>
      </c>
      <c r="J7" s="735">
        <v>13.053878286620058</v>
      </c>
      <c r="K7" s="734">
        <v>-4.047250370806859</v>
      </c>
      <c r="M7"/>
    </row>
    <row r="8" spans="1:13" ht="19" x14ac:dyDescent="0.25">
      <c r="A8" s="515" t="s">
        <v>485</v>
      </c>
      <c r="B8" s="37" t="e">
        <f ca="1">'10.7-1'!I4</f>
        <v>#NAME?</v>
      </c>
      <c r="C8" s="514" t="e">
        <f ca="1"/>
        <v>#NAME?</v>
      </c>
      <c r="D8" s="36" t="e">
        <f ca="1">B8/C8</f>
        <v>#NAME?</v>
      </c>
      <c r="E8" s="651" t="e">
        <f ca="1">TDIST(ABS(D8),C$4,2)</f>
        <v>#NAME?</v>
      </c>
      <c r="G8" s="1040" t="s">
        <v>481</v>
      </c>
      <c r="H8" s="728">
        <v>-11.950642149516266</v>
      </c>
      <c r="I8" s="727">
        <v>58.804029370606052</v>
      </c>
      <c r="J8" s="727">
        <v>-69.153445676025228</v>
      </c>
      <c r="K8" s="726">
        <v>22.298445808061299</v>
      </c>
      <c r="M8"/>
    </row>
    <row r="9" spans="1:13" ht="19" x14ac:dyDescent="0.25">
      <c r="A9" s="515" t="s">
        <v>484</v>
      </c>
      <c r="B9" s="37" t="e">
        <f ca="1">'10.7-1'!I5</f>
        <v>#NAME?</v>
      </c>
      <c r="C9" s="514" t="e">
        <f ca="1"/>
        <v>#NAME?</v>
      </c>
      <c r="D9" s="36" t="e">
        <f ca="1">B9/C9</f>
        <v>#NAME?</v>
      </c>
      <c r="E9" s="651" t="e">
        <f ca="1">TDIST(ABS(D9),C$4,2)</f>
        <v>#NAME?</v>
      </c>
      <c r="G9" s="1040" t="s">
        <v>480</v>
      </c>
      <c r="H9" s="728">
        <v>13.05387828662063</v>
      </c>
      <c r="I9" s="727">
        <v>-69.153445676026394</v>
      </c>
      <c r="J9" s="727">
        <v>85.764476243015068</v>
      </c>
      <c r="K9" s="726">
        <v>-28.538186222873119</v>
      </c>
      <c r="M9"/>
    </row>
    <row r="10" spans="1:13" ht="19" x14ac:dyDescent="0.25">
      <c r="A10" s="513" t="s">
        <v>483</v>
      </c>
      <c r="B10" s="66" t="e">
        <f ca="1">'10.7-1'!I6</f>
        <v>#NAME?</v>
      </c>
      <c r="C10" s="512" t="e">
        <f ca="1"/>
        <v>#NAME?</v>
      </c>
      <c r="D10" s="65" t="e">
        <f ca="1">B10/C10</f>
        <v>#NAME?</v>
      </c>
      <c r="E10" s="638" t="e">
        <f ca="1">TDIST(ABS(D10),C$4,2)</f>
        <v>#NAME?</v>
      </c>
      <c r="G10" s="1039" t="s">
        <v>479</v>
      </c>
      <c r="H10" s="1038">
        <v>-4.0472503708070775</v>
      </c>
      <c r="I10" s="1037">
        <v>22.298445808061889</v>
      </c>
      <c r="J10" s="1037">
        <v>-28.538186222873385</v>
      </c>
      <c r="K10" s="811">
        <v>9.6790693600899971</v>
      </c>
      <c r="M10"/>
    </row>
    <row r="11" spans="1:13" x14ac:dyDescent="0.2">
      <c r="M11"/>
    </row>
    <row r="12" spans="1:13" x14ac:dyDescent="0.2">
      <c r="M12"/>
    </row>
    <row r="13" spans="1:13" x14ac:dyDescent="0.2">
      <c r="M13"/>
    </row>
    <row r="14" spans="1:13" x14ac:dyDescent="0.2">
      <c r="M14"/>
    </row>
    <row r="15" spans="1:13" x14ac:dyDescent="0.2">
      <c r="J15" s="727"/>
      <c r="M15"/>
    </row>
    <row r="16" spans="1:13" x14ac:dyDescent="0.2">
      <c r="M16"/>
    </row>
    <row r="17" spans="13:13" x14ac:dyDescent="0.2">
      <c r="M17"/>
    </row>
    <row r="18" spans="13:13" x14ac:dyDescent="0.2">
      <c r="M18"/>
    </row>
    <row r="19" spans="13:13" x14ac:dyDescent="0.2">
      <c r="M19"/>
    </row>
    <row r="20" spans="13:13" x14ac:dyDescent="0.2">
      <c r="M20"/>
    </row>
    <row r="21" spans="13:13" x14ac:dyDescent="0.2">
      <c r="M21"/>
    </row>
    <row r="22" spans="13:13" x14ac:dyDescent="0.2">
      <c r="M22"/>
    </row>
    <row r="23" spans="13:13" x14ac:dyDescent="0.2">
      <c r="M23"/>
    </row>
  </sheetData>
  <mergeCells count="1">
    <mergeCell ref="A1:F1"/>
  </mergeCells>
  <pageMargins left="0.7" right="0.7" top="0.75" bottom="0.75" header="0.3" footer="0.3"/>
  <pageSetup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47ED5-0778-4BA9-A2DA-9885DF582E0D}">
  <dimension ref="A1:Q16"/>
  <sheetViews>
    <sheetView zoomScaleNormal="100" workbookViewId="0">
      <selection activeCell="P8" sqref="P8"/>
    </sheetView>
  </sheetViews>
  <sheetFormatPr baseColWidth="10" defaultColWidth="6.83203125" defaultRowHeight="16" x14ac:dyDescent="0.2"/>
  <cols>
    <col min="1" max="4" width="6.83203125" customWidth="1"/>
    <col min="8" max="8" width="6.83203125" customWidth="1"/>
    <col min="9" max="9" width="3.83203125" customWidth="1"/>
  </cols>
  <sheetData>
    <row r="1" spans="1:17" x14ac:dyDescent="0.2">
      <c r="A1" s="1345" t="s">
        <v>478</v>
      </c>
      <c r="B1" s="1346"/>
      <c r="C1" s="1346"/>
      <c r="D1" s="1347"/>
      <c r="E1" s="1347"/>
      <c r="F1" s="1347"/>
      <c r="G1" s="1347"/>
      <c r="H1" s="1348"/>
      <c r="J1" s="1345" t="s">
        <v>477</v>
      </c>
      <c r="K1" s="1346"/>
      <c r="L1" s="1346"/>
      <c r="M1" s="1347"/>
      <c r="N1" s="1347"/>
      <c r="O1" s="1347"/>
      <c r="P1" s="1347"/>
      <c r="Q1" s="1348"/>
    </row>
    <row r="2" spans="1:17" ht="19" x14ac:dyDescent="0.2">
      <c r="A2" s="1001" t="s">
        <v>219</v>
      </c>
      <c r="B2" s="766" t="s">
        <v>456</v>
      </c>
      <c r="C2" s="1000" t="s">
        <v>455</v>
      </c>
      <c r="D2" s="1028" t="s">
        <v>258</v>
      </c>
      <c r="E2" s="1349" t="s">
        <v>476</v>
      </c>
      <c r="F2" s="1350"/>
      <c r="G2" s="1350"/>
      <c r="H2" s="1351"/>
      <c r="J2" s="1001" t="s">
        <v>219</v>
      </c>
      <c r="K2" s="766" t="s">
        <v>456</v>
      </c>
      <c r="L2" s="1000" t="s">
        <v>455</v>
      </c>
      <c r="N2" s="1349" t="s">
        <v>475</v>
      </c>
      <c r="O2" s="1350"/>
      <c r="P2" s="1350"/>
      <c r="Q2" s="1351"/>
    </row>
    <row r="3" spans="1:17" x14ac:dyDescent="0.2">
      <c r="A3" s="1018">
        <v>3.5</v>
      </c>
      <c r="B3" s="1017">
        <v>1</v>
      </c>
      <c r="C3" s="1020" t="s">
        <v>474</v>
      </c>
      <c r="D3">
        <f t="array" ref="D3:D6">MMULT(A8:D11,G8:G11)</f>
        <v>3.5</v>
      </c>
      <c r="E3" s="762">
        <f t="array" ref="E3:H6">MMULT(TRANSPOSE(A8:D11),A8:D11)</f>
        <v>4</v>
      </c>
      <c r="F3" s="761">
        <v>0</v>
      </c>
      <c r="G3" s="761">
        <v>0</v>
      </c>
      <c r="H3" s="1024">
        <v>0</v>
      </c>
      <c r="J3" s="1018">
        <v>2.2999999999999998</v>
      </c>
      <c r="K3" s="1017">
        <v>-0.6</v>
      </c>
      <c r="L3" s="1020">
        <v>-1</v>
      </c>
      <c r="N3" s="1027">
        <f t="array" ref="N3:Q6">MMULT(TRANSPOSE(J8:M11),J8:M11)</f>
        <v>4</v>
      </c>
      <c r="O3" s="1026">
        <v>0.39999999999999991</v>
      </c>
      <c r="P3" s="1026">
        <v>-0.30000000000000004</v>
      </c>
      <c r="Q3" s="1025">
        <v>-0.40000000000000013</v>
      </c>
    </row>
    <row r="4" spans="1:17" x14ac:dyDescent="0.2">
      <c r="A4" s="1018">
        <v>5</v>
      </c>
      <c r="B4" s="1017">
        <v>1</v>
      </c>
      <c r="C4" s="1020">
        <v>1</v>
      </c>
      <c r="D4">
        <v>5</v>
      </c>
      <c r="E4" s="762">
        <v>0</v>
      </c>
      <c r="F4" s="761">
        <v>4</v>
      </c>
      <c r="G4" s="761">
        <v>0</v>
      </c>
      <c r="H4" s="1024">
        <v>0</v>
      </c>
      <c r="J4" s="1018">
        <v>3.1</v>
      </c>
      <c r="K4" s="1017">
        <v>-0.5</v>
      </c>
      <c r="L4" s="1020">
        <v>0.8</v>
      </c>
      <c r="N4" s="1018">
        <v>0.39999999999999991</v>
      </c>
      <c r="O4" s="1017">
        <v>1.8599999999999999</v>
      </c>
      <c r="P4" s="1017">
        <v>-0.40000000000000013</v>
      </c>
      <c r="Q4" s="1020">
        <v>-1.01</v>
      </c>
    </row>
    <row r="5" spans="1:17" x14ac:dyDescent="0.2">
      <c r="A5" s="1018">
        <v>2</v>
      </c>
      <c r="B5" s="1017" t="s">
        <v>474</v>
      </c>
      <c r="C5" s="1020" t="s">
        <v>474</v>
      </c>
      <c r="D5">
        <v>2</v>
      </c>
      <c r="E5" s="762">
        <v>0</v>
      </c>
      <c r="F5" s="761">
        <v>0</v>
      </c>
      <c r="G5" s="761">
        <v>4</v>
      </c>
      <c r="H5" s="1024">
        <v>0</v>
      </c>
      <c r="J5" s="1018">
        <v>4.4000000000000004</v>
      </c>
      <c r="K5" s="1017">
        <v>0.5</v>
      </c>
      <c r="L5" s="1020">
        <v>1</v>
      </c>
      <c r="N5" s="1018">
        <v>-0.30000000000000004</v>
      </c>
      <c r="O5" s="1017">
        <v>-0.40000000000000013</v>
      </c>
      <c r="P5" s="1017">
        <v>3.8500000000000005</v>
      </c>
      <c r="Q5" s="1020">
        <v>0.79000000000000015</v>
      </c>
    </row>
    <row r="6" spans="1:17" x14ac:dyDescent="0.2">
      <c r="A6" s="1018">
        <v>2.5</v>
      </c>
      <c r="B6" s="1017" t="s">
        <v>474</v>
      </c>
      <c r="C6" s="1020">
        <v>1</v>
      </c>
      <c r="D6">
        <v>2.5</v>
      </c>
      <c r="E6" s="762">
        <v>0</v>
      </c>
      <c r="F6" s="761">
        <v>0</v>
      </c>
      <c r="G6" s="761">
        <v>0</v>
      </c>
      <c r="H6" s="1024">
        <v>4</v>
      </c>
      <c r="J6" s="1018">
        <v>3.4</v>
      </c>
      <c r="K6" s="1017">
        <v>1</v>
      </c>
      <c r="L6" s="1020">
        <v>-1.1000000000000001</v>
      </c>
      <c r="N6" s="1018">
        <v>-0.40000000000000013</v>
      </c>
      <c r="O6" s="1017">
        <v>-1.01</v>
      </c>
      <c r="P6" s="1017">
        <v>0.79000000000000015</v>
      </c>
      <c r="Q6" s="1020">
        <v>1.9800000000000002</v>
      </c>
    </row>
    <row r="7" spans="1:17" ht="21" customHeight="1" x14ac:dyDescent="0.25">
      <c r="A7" s="725">
        <v>1</v>
      </c>
      <c r="B7" s="766" t="s">
        <v>456</v>
      </c>
      <c r="C7" s="766" t="s">
        <v>455</v>
      </c>
      <c r="D7" s="1002" t="s">
        <v>454</v>
      </c>
      <c r="E7" s="8" t="s">
        <v>465</v>
      </c>
      <c r="F7" s="1352" t="s">
        <v>468</v>
      </c>
      <c r="G7" s="794" t="s">
        <v>39</v>
      </c>
      <c r="H7" s="1352" t="s">
        <v>473</v>
      </c>
      <c r="J7" s="725">
        <v>1</v>
      </c>
      <c r="K7" s="766" t="s">
        <v>456</v>
      </c>
      <c r="L7" s="766" t="s">
        <v>455</v>
      </c>
      <c r="M7" s="1023" t="s">
        <v>454</v>
      </c>
      <c r="N7" s="794" t="s">
        <v>465</v>
      </c>
      <c r="O7" s="1335" t="s">
        <v>472</v>
      </c>
      <c r="P7" s="794" t="s">
        <v>39</v>
      </c>
      <c r="Q7" s="1335" t="s">
        <v>471</v>
      </c>
    </row>
    <row r="8" spans="1:17" x14ac:dyDescent="0.2">
      <c r="A8" s="1018">
        <v>1</v>
      </c>
      <c r="B8" s="1017">
        <f>B3</f>
        <v>1</v>
      </c>
      <c r="C8" s="1017">
        <v>-1</v>
      </c>
      <c r="D8" s="1020">
        <f>B8*C8</f>
        <v>-1</v>
      </c>
      <c r="E8" s="1022">
        <f t="array" ref="E8:E11">MMULT(TRANSPOSE(A8:D11),A3:A6)</f>
        <v>13</v>
      </c>
      <c r="F8" s="1353"/>
      <c r="G8" s="1009">
        <f t="array" ref="G8:G11">MMULT(MINVERSE(E3:H6),E8:E11)</f>
        <v>3.25</v>
      </c>
      <c r="H8" s="1353"/>
      <c r="J8" s="1018">
        <v>1</v>
      </c>
      <c r="K8" s="1017">
        <f t="shared" ref="K8:L11" si="0">K3</f>
        <v>-0.6</v>
      </c>
      <c r="L8" s="1017">
        <f t="shared" si="0"/>
        <v>-1</v>
      </c>
      <c r="M8" s="1017">
        <f>K8*L8</f>
        <v>0.6</v>
      </c>
      <c r="N8" s="1009">
        <f t="array" ref="N8:N11">MMULT(TRANSPOSE(J8:M11),J3:J6)</f>
        <v>13.200000000000001</v>
      </c>
      <c r="O8" s="1355"/>
      <c r="P8" s="1021">
        <f t="array" ref="P8:P11">MMULT(MINVERSE(N3:Q6),N8:N11)</f>
        <v>3.2658012237473137</v>
      </c>
      <c r="Q8" s="1355"/>
    </row>
    <row r="9" spans="1:17" x14ac:dyDescent="0.2">
      <c r="A9" s="1018">
        <v>1</v>
      </c>
      <c r="B9" s="1017">
        <f>B4</f>
        <v>1</v>
      </c>
      <c r="C9" s="1017">
        <v>1</v>
      </c>
      <c r="D9" s="1020">
        <f>B9*C9</f>
        <v>1</v>
      </c>
      <c r="E9" s="1019">
        <v>4</v>
      </c>
      <c r="F9" s="1353"/>
      <c r="G9" s="1008">
        <v>1</v>
      </c>
      <c r="H9" s="1353"/>
      <c r="J9" s="1018">
        <v>1</v>
      </c>
      <c r="K9" s="1017">
        <f t="shared" si="0"/>
        <v>-0.5</v>
      </c>
      <c r="L9" s="1017">
        <f t="shared" si="0"/>
        <v>0.8</v>
      </c>
      <c r="M9" s="1017">
        <f>K9*L9</f>
        <v>-0.4</v>
      </c>
      <c r="N9" s="1008">
        <v>2.6700000000000004</v>
      </c>
      <c r="O9" s="1355"/>
      <c r="P9" s="1016">
        <v>0.97734413758888783</v>
      </c>
      <c r="Q9" s="1355"/>
    </row>
    <row r="10" spans="1:17" x14ac:dyDescent="0.2">
      <c r="A10" s="1018">
        <v>1</v>
      </c>
      <c r="B10" s="1017">
        <v>-1</v>
      </c>
      <c r="C10" s="1017">
        <v>-1</v>
      </c>
      <c r="D10" s="1020">
        <f>B10*C10</f>
        <v>1</v>
      </c>
      <c r="E10" s="1019">
        <v>2</v>
      </c>
      <c r="F10" s="1353"/>
      <c r="G10" s="1008">
        <v>0.5</v>
      </c>
      <c r="H10" s="1353"/>
      <c r="J10" s="1018">
        <v>1</v>
      </c>
      <c r="K10" s="1017">
        <f t="shared" si="0"/>
        <v>0.5</v>
      </c>
      <c r="L10" s="1017">
        <f t="shared" si="0"/>
        <v>1</v>
      </c>
      <c r="M10" s="1017">
        <f>K10*L10</f>
        <v>0.5</v>
      </c>
      <c r="N10" s="1008">
        <v>0.84000000000000075</v>
      </c>
      <c r="O10" s="1355"/>
      <c r="P10" s="1016">
        <v>0.52455763188357885</v>
      </c>
      <c r="Q10" s="1355"/>
    </row>
    <row r="11" spans="1:17" x14ac:dyDescent="0.2">
      <c r="A11" s="1014">
        <v>1</v>
      </c>
      <c r="B11" s="1013">
        <v>-1</v>
      </c>
      <c r="C11" s="1013">
        <v>1</v>
      </c>
      <c r="D11" s="1015">
        <f>B11*C11</f>
        <v>-1</v>
      </c>
      <c r="E11" s="469">
        <v>1</v>
      </c>
      <c r="F11" s="1354"/>
      <c r="G11" s="1005">
        <v>0.25</v>
      </c>
      <c r="H11" s="1354"/>
      <c r="J11" s="1014">
        <v>1</v>
      </c>
      <c r="K11" s="1013">
        <f t="shared" si="0"/>
        <v>1</v>
      </c>
      <c r="L11" s="1013">
        <f t="shared" si="0"/>
        <v>-1.1000000000000001</v>
      </c>
      <c r="M11" s="1013">
        <f>K11*L11</f>
        <v>-1.1000000000000001</v>
      </c>
      <c r="N11" s="1005">
        <v>-1.4000000000000004</v>
      </c>
      <c r="O11" s="1356"/>
      <c r="P11" s="1012">
        <v>0.24193815114933037</v>
      </c>
      <c r="Q11" s="1356"/>
    </row>
    <row r="12" spans="1:17" x14ac:dyDescent="0.2">
      <c r="A12" s="1331" t="s">
        <v>470</v>
      </c>
      <c r="B12" s="1331"/>
      <c r="C12" s="1331"/>
      <c r="D12" s="1331"/>
      <c r="E12" s="1332"/>
      <c r="F12" s="1332"/>
      <c r="G12" s="1332"/>
      <c r="H12" s="1332"/>
      <c r="J12" s="1333" t="s">
        <v>470</v>
      </c>
      <c r="K12" s="1331"/>
      <c r="L12" s="1331"/>
      <c r="M12" s="1331"/>
      <c r="N12" s="1332"/>
      <c r="O12" s="1332"/>
      <c r="P12" s="1332"/>
      <c r="Q12" s="1334"/>
    </row>
    <row r="13" spans="1:17" ht="19" x14ac:dyDescent="0.2">
      <c r="A13" s="1341" t="s">
        <v>469</v>
      </c>
      <c r="B13" s="1342"/>
      <c r="C13" s="1342"/>
      <c r="D13" s="1343"/>
      <c r="E13" s="794" t="s">
        <v>465</v>
      </c>
      <c r="F13" s="1335" t="s">
        <v>468</v>
      </c>
      <c r="G13" s="1011" t="s">
        <v>39</v>
      </c>
      <c r="H13" s="1338" t="s">
        <v>467</v>
      </c>
      <c r="I13" s="1010"/>
      <c r="J13" s="1344" t="s">
        <v>466</v>
      </c>
      <c r="K13" s="1342"/>
      <c r="L13" s="1342"/>
      <c r="M13" s="1343"/>
      <c r="N13" s="794" t="s">
        <v>465</v>
      </c>
      <c r="O13" s="1335" t="s">
        <v>464</v>
      </c>
      <c r="P13" s="794" t="s">
        <v>39</v>
      </c>
      <c r="Q13" s="1338" t="s">
        <v>463</v>
      </c>
    </row>
    <row r="14" spans="1:17" x14ac:dyDescent="0.2">
      <c r="A14" s="762">
        <f t="array" ref="A14:C16">MMULT(TRANSPOSE(A8:C11),A8:C11)</f>
        <v>4</v>
      </c>
      <c r="B14" s="761">
        <v>0</v>
      </c>
      <c r="C14" s="761">
        <v>0</v>
      </c>
      <c r="D14" s="740"/>
      <c r="E14">
        <f t="array" ref="E14:E16">MMULT(TRANSPOSE(A8:C11),A3:A6)</f>
        <v>13</v>
      </c>
      <c r="F14" s="1336"/>
      <c r="G14" s="975" t="e">
        <f t="array" aca="1" ref="G14:G16" ca="1">MMULT([5]!PseudoInv(A8:C11),A3:A6)</f>
        <v>#NAME?</v>
      </c>
      <c r="H14" s="1339"/>
      <c r="J14" s="762">
        <f t="array" ref="J14:L16">MMULT(TRANSPOSE(J8:L11),J8:L11)</f>
        <v>4</v>
      </c>
      <c r="K14" s="761">
        <v>0.39999999999999991</v>
      </c>
      <c r="L14" s="761">
        <v>-0.30000000000000004</v>
      </c>
      <c r="M14" s="761"/>
      <c r="N14" s="1009">
        <f t="array" ref="N14:N16">MMULT(TRANSPOSE(J8:L11),J3:J6)</f>
        <v>13.200000000000001</v>
      </c>
      <c r="O14" s="1336"/>
      <c r="P14" s="975" t="e">
        <f t="array" aca="1" ref="P14:P16" ca="1">MMULT([5]!PseudoInv(J8:L11),J3:J6)</f>
        <v>#NAME?</v>
      </c>
      <c r="Q14" s="1339"/>
    </row>
    <row r="15" spans="1:17" x14ac:dyDescent="0.2">
      <c r="A15" s="762">
        <v>0</v>
      </c>
      <c r="B15" s="761">
        <v>4</v>
      </c>
      <c r="C15" s="761">
        <v>0</v>
      </c>
      <c r="D15" s="732"/>
      <c r="E15">
        <v>4</v>
      </c>
      <c r="F15" s="1336"/>
      <c r="G15" s="975" t="e">
        <f ca="1"/>
        <v>#NAME?</v>
      </c>
      <c r="H15" s="1339"/>
      <c r="J15" s="762">
        <v>0.39999999999999991</v>
      </c>
      <c r="K15" s="761">
        <v>1.8599999999999999</v>
      </c>
      <c r="L15" s="761">
        <v>-0.40000000000000013</v>
      </c>
      <c r="M15" s="761"/>
      <c r="N15" s="1008">
        <v>2.6700000000000004</v>
      </c>
      <c r="O15" s="1336"/>
      <c r="P15" s="975" t="e">
        <f ca="1"/>
        <v>#NAME?</v>
      </c>
      <c r="Q15" s="1339"/>
    </row>
    <row r="16" spans="1:17" x14ac:dyDescent="0.2">
      <c r="A16" s="759">
        <v>0</v>
      </c>
      <c r="B16" s="758">
        <v>0</v>
      </c>
      <c r="C16" s="758">
        <v>4</v>
      </c>
      <c r="D16" s="1007"/>
      <c r="E16" s="1006">
        <v>2</v>
      </c>
      <c r="F16" s="1337"/>
      <c r="G16" s="1004" t="e">
        <f ca="1"/>
        <v>#NAME?</v>
      </c>
      <c r="H16" s="1340"/>
      <c r="I16" s="1006"/>
      <c r="J16" s="759">
        <v>-0.30000000000000004</v>
      </c>
      <c r="K16" s="758">
        <v>-0.40000000000000013</v>
      </c>
      <c r="L16" s="758">
        <v>3.8500000000000005</v>
      </c>
      <c r="M16" s="758"/>
      <c r="N16" s="1005">
        <v>0.84000000000000075</v>
      </c>
      <c r="O16" s="1337"/>
      <c r="P16" s="1004" t="e">
        <f ca="1"/>
        <v>#NAME?</v>
      </c>
      <c r="Q16" s="1340"/>
    </row>
  </sheetData>
  <mergeCells count="16">
    <mergeCell ref="A1:H1"/>
    <mergeCell ref="J1:Q1"/>
    <mergeCell ref="E2:H2"/>
    <mergeCell ref="N2:Q2"/>
    <mergeCell ref="F7:F11"/>
    <mergeCell ref="H7:H11"/>
    <mergeCell ref="O7:O11"/>
    <mergeCell ref="Q7:Q11"/>
    <mergeCell ref="A12:H12"/>
    <mergeCell ref="J12:Q12"/>
    <mergeCell ref="F13:F16"/>
    <mergeCell ref="H13:H16"/>
    <mergeCell ref="O13:O16"/>
    <mergeCell ref="Q13:Q16"/>
    <mergeCell ref="A13:D13"/>
    <mergeCell ref="J13:M13"/>
  </mergeCells>
  <conditionalFormatting sqref="A14:D16">
    <cfRule type="cellIs" dxfId="73" priority="2" operator="between">
      <formula>-0.0001</formula>
      <formula>0.0001</formula>
    </cfRule>
  </conditionalFormatting>
  <conditionalFormatting sqref="E3:H6">
    <cfRule type="cellIs" dxfId="72" priority="3" operator="between">
      <formula>-0.0001</formula>
      <formula>0.0001</formula>
    </cfRule>
  </conditionalFormatting>
  <conditionalFormatting sqref="J14:M16">
    <cfRule type="cellIs" dxfId="71" priority="1" operator="between">
      <formula>-0.0001</formula>
      <formula>0.0001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3E461-02C2-4D70-B925-20001B981F1B}">
  <dimension ref="A1:R18"/>
  <sheetViews>
    <sheetView zoomScaleNormal="100" workbookViewId="0">
      <selection activeCell="A20" sqref="A20"/>
    </sheetView>
  </sheetViews>
  <sheetFormatPr baseColWidth="10" defaultColWidth="6.83203125" defaultRowHeight="16" x14ac:dyDescent="0.2"/>
  <cols>
    <col min="1" max="5" width="6.83203125" style="1"/>
    <col min="6" max="6" width="6.83203125" style="1" customWidth="1"/>
    <col min="7" max="8" width="6.83203125" style="1"/>
    <col min="9" max="10" width="6.83203125" style="1" customWidth="1"/>
    <col min="11" max="11" width="6.83203125" style="1"/>
    <col min="12" max="12" width="6.83203125" style="1" customWidth="1"/>
    <col min="13" max="16384" width="6.83203125" style="1"/>
  </cols>
  <sheetData>
    <row r="1" spans="1:18" x14ac:dyDescent="0.2">
      <c r="A1" s="1357" t="s">
        <v>14</v>
      </c>
      <c r="B1" s="1358"/>
      <c r="C1" s="1358"/>
      <c r="D1" s="1359"/>
      <c r="E1" s="7" t="s">
        <v>462</v>
      </c>
      <c r="F1" s="454" t="s">
        <v>461</v>
      </c>
      <c r="G1" s="1357" t="s">
        <v>460</v>
      </c>
      <c r="H1" s="1346"/>
      <c r="I1" s="1346"/>
      <c r="J1" s="1346"/>
      <c r="K1" s="1346"/>
      <c r="L1" s="1346"/>
      <c r="M1" s="1348"/>
    </row>
    <row r="2" spans="1:18" ht="19" x14ac:dyDescent="0.25">
      <c r="A2" s="78">
        <v>0</v>
      </c>
      <c r="B2" s="1003" t="s">
        <v>456</v>
      </c>
      <c r="C2" s="1003" t="s">
        <v>455</v>
      </c>
      <c r="D2" s="1002" t="s">
        <v>454</v>
      </c>
      <c r="E2" s="1001" t="s">
        <v>219</v>
      </c>
      <c r="F2" s="1000" t="s">
        <v>258</v>
      </c>
      <c r="G2" s="997" t="s">
        <v>35</v>
      </c>
      <c r="H2" s="91">
        <v>0</v>
      </c>
      <c r="I2" s="999" t="s">
        <v>456</v>
      </c>
      <c r="J2" s="999" t="s">
        <v>455</v>
      </c>
      <c r="K2" s="998" t="s">
        <v>454</v>
      </c>
      <c r="L2" s="997" t="s">
        <v>34</v>
      </c>
      <c r="M2" s="997" t="s">
        <v>39</v>
      </c>
      <c r="R2" s="996"/>
    </row>
    <row r="3" spans="1:18" x14ac:dyDescent="0.2">
      <c r="A3" s="81">
        <v>1</v>
      </c>
      <c r="B3" s="88">
        <v>1</v>
      </c>
      <c r="C3" s="88">
        <v>-1</v>
      </c>
      <c r="D3" s="80">
        <f t="shared" ref="D3:D10" si="0">C3*B3</f>
        <v>-1</v>
      </c>
      <c r="E3" s="523">
        <v>-1.0940000000000001</v>
      </c>
      <c r="F3" s="522">
        <f t="array" ref="F3:F10">MMULT(X,a)</f>
        <v>-1.5055000000000001</v>
      </c>
      <c r="G3" s="518">
        <v>0</v>
      </c>
      <c r="H3" s="81">
        <f t="array" ref="H3:K6">MMULT(TRANSPOSE(X),X)</f>
        <v>8</v>
      </c>
      <c r="I3" s="88">
        <v>0</v>
      </c>
      <c r="J3" s="88">
        <v>0</v>
      </c>
      <c r="K3" s="80">
        <v>0</v>
      </c>
      <c r="L3" s="467">
        <f t="array" ref="L3:L6">MMULT(TRANSPOSE(X),y)</f>
        <v>-3.2950000000000004</v>
      </c>
      <c r="M3" s="517">
        <f t="array" ref="M3:M6">MMULT(MMULT(MINVERSE(MMULT(TRANSPOSE(X),X)),TRANSPOSE(X)),y)</f>
        <v>-0.41187500000000005</v>
      </c>
      <c r="N3" s="36"/>
      <c r="Q3" s="36"/>
      <c r="R3" s="35"/>
    </row>
    <row r="4" spans="1:18" ht="19" x14ac:dyDescent="0.2">
      <c r="A4" s="455">
        <v>1</v>
      </c>
      <c r="B4" s="1">
        <v>1</v>
      </c>
      <c r="C4" s="1">
        <v>-1</v>
      </c>
      <c r="D4" s="90">
        <f t="shared" si="0"/>
        <v>-1</v>
      </c>
      <c r="E4" s="514">
        <v>-1.917</v>
      </c>
      <c r="F4" s="36">
        <v>-1.5055000000000001</v>
      </c>
      <c r="G4" s="990" t="s">
        <v>456</v>
      </c>
      <c r="H4" s="455">
        <v>0</v>
      </c>
      <c r="I4" s="1">
        <v>8</v>
      </c>
      <c r="J4" s="1">
        <v>0</v>
      </c>
      <c r="K4" s="90">
        <v>0</v>
      </c>
      <c r="L4" s="995">
        <v>-0.85500000000000032</v>
      </c>
      <c r="M4" s="35">
        <v>-0.10687500000000004</v>
      </c>
      <c r="Q4" s="36"/>
      <c r="R4" s="35"/>
    </row>
    <row r="5" spans="1:18" ht="19" x14ac:dyDescent="0.2">
      <c r="A5" s="455">
        <v>1</v>
      </c>
      <c r="B5" s="1">
        <v>1</v>
      </c>
      <c r="C5" s="1">
        <v>1</v>
      </c>
      <c r="D5" s="90">
        <f t="shared" si="0"/>
        <v>1</v>
      </c>
      <c r="E5" s="514">
        <v>0.69499999999999995</v>
      </c>
      <c r="F5" s="36">
        <v>0.46799999999999997</v>
      </c>
      <c r="G5" s="990" t="s">
        <v>455</v>
      </c>
      <c r="H5" s="455">
        <v>0</v>
      </c>
      <c r="I5" s="1">
        <v>0</v>
      </c>
      <c r="J5" s="1">
        <v>8</v>
      </c>
      <c r="K5" s="90">
        <v>0</v>
      </c>
      <c r="L5" s="995">
        <v>2.875</v>
      </c>
      <c r="M5" s="35">
        <v>0.359375</v>
      </c>
      <c r="Q5" s="36"/>
      <c r="R5" s="35"/>
    </row>
    <row r="6" spans="1:18" ht="18" x14ac:dyDescent="0.25">
      <c r="A6" s="455">
        <v>1</v>
      </c>
      <c r="B6" s="1">
        <v>1</v>
      </c>
      <c r="C6" s="1">
        <v>1</v>
      </c>
      <c r="D6" s="90">
        <f t="shared" si="0"/>
        <v>1</v>
      </c>
      <c r="E6" s="514">
        <v>0.24099999999999999</v>
      </c>
      <c r="F6" s="36">
        <v>0.46799999999999997</v>
      </c>
      <c r="G6" s="994" t="s">
        <v>454</v>
      </c>
      <c r="H6" s="106">
        <v>0</v>
      </c>
      <c r="I6" s="76">
        <v>0</v>
      </c>
      <c r="J6" s="76">
        <v>0</v>
      </c>
      <c r="K6" s="77">
        <v>8</v>
      </c>
      <c r="L6" s="993">
        <v>5.0190000000000001</v>
      </c>
      <c r="M6" s="64">
        <v>0.62737500000000002</v>
      </c>
      <c r="Q6" s="36"/>
      <c r="R6" s="35"/>
    </row>
    <row r="7" spans="1:18" x14ac:dyDescent="0.2">
      <c r="A7" s="455">
        <v>1</v>
      </c>
      <c r="B7" s="1">
        <v>-1</v>
      </c>
      <c r="C7" s="1">
        <v>-1</v>
      </c>
      <c r="D7" s="90">
        <f t="shared" si="0"/>
        <v>1</v>
      </c>
      <c r="E7" s="514">
        <v>-0.27200000000000002</v>
      </c>
      <c r="F7" s="37">
        <v>-3.6999999999999922E-2</v>
      </c>
      <c r="G7" s="1314" t="s">
        <v>459</v>
      </c>
      <c r="H7" s="1361"/>
      <c r="R7" s="35"/>
    </row>
    <row r="8" spans="1:18" x14ac:dyDescent="0.2">
      <c r="A8" s="455">
        <v>1</v>
      </c>
      <c r="B8" s="1">
        <v>-1</v>
      </c>
      <c r="C8" s="1">
        <v>-1</v>
      </c>
      <c r="D8" s="90">
        <f t="shared" si="0"/>
        <v>1</v>
      </c>
      <c r="E8" s="514">
        <v>0.19800000000000001</v>
      </c>
      <c r="F8" s="37">
        <v>-3.6999999999999922E-2</v>
      </c>
      <c r="G8" s="992" t="s">
        <v>324</v>
      </c>
      <c r="H8" s="80">
        <f>COUNTA(A2:D2)</f>
        <v>4</v>
      </c>
      <c r="R8" s="35"/>
    </row>
    <row r="9" spans="1:18" x14ac:dyDescent="0.2">
      <c r="A9" s="455">
        <v>1</v>
      </c>
      <c r="B9" s="1">
        <v>-1</v>
      </c>
      <c r="C9" s="1">
        <v>1</v>
      </c>
      <c r="D9" s="90">
        <f t="shared" si="0"/>
        <v>-1</v>
      </c>
      <c r="E9" s="514">
        <v>-0.504</v>
      </c>
      <c r="F9" s="37">
        <v>-0.57299999999999995</v>
      </c>
      <c r="G9" s="991" t="s">
        <v>325</v>
      </c>
      <c r="H9" s="90">
        <f>COUNT(y)</f>
        <v>8</v>
      </c>
      <c r="R9" s="35"/>
    </row>
    <row r="10" spans="1:18" x14ac:dyDescent="0.2">
      <c r="A10" s="106">
        <v>1</v>
      </c>
      <c r="B10" s="76">
        <v>-1</v>
      </c>
      <c r="C10" s="76">
        <v>1</v>
      </c>
      <c r="D10" s="77">
        <f t="shared" si="0"/>
        <v>-1</v>
      </c>
      <c r="E10" s="512">
        <v>-0.64200000000000002</v>
      </c>
      <c r="F10" s="66">
        <v>-0.57299999999999995</v>
      </c>
      <c r="G10" s="991" t="s">
        <v>458</v>
      </c>
      <c r="H10" s="90">
        <f>AVERAGE(y)</f>
        <v>-0.41187500000000005</v>
      </c>
      <c r="R10" s="35"/>
    </row>
    <row r="11" spans="1:18" ht="18" x14ac:dyDescent="0.2">
      <c r="A11" s="1357" t="s">
        <v>27</v>
      </c>
      <c r="B11" s="1346"/>
      <c r="C11" s="1346"/>
      <c r="D11" s="1346"/>
      <c r="E11" s="1346"/>
      <c r="F11" s="1360"/>
      <c r="G11" s="1314" t="s">
        <v>457</v>
      </c>
      <c r="H11" s="1315"/>
      <c r="I11" s="1315"/>
      <c r="J11" s="1315"/>
      <c r="K11" s="1316"/>
    </row>
    <row r="12" spans="1:18" ht="18" x14ac:dyDescent="0.2">
      <c r="A12" s="524" t="s">
        <v>47</v>
      </c>
      <c r="B12" s="464" t="s">
        <v>30</v>
      </c>
      <c r="C12" s="454" t="s">
        <v>31</v>
      </c>
      <c r="D12" s="524" t="s">
        <v>32</v>
      </c>
      <c r="E12" s="659" t="s">
        <v>3</v>
      </c>
      <c r="F12" s="121" t="s">
        <v>33</v>
      </c>
      <c r="G12" s="631" t="s">
        <v>47</v>
      </c>
      <c r="H12" s="676" t="s">
        <v>30</v>
      </c>
      <c r="I12" s="667" t="s">
        <v>31</v>
      </c>
      <c r="J12" s="676" t="s">
        <v>37</v>
      </c>
      <c r="K12" s="470" t="s">
        <v>33</v>
      </c>
    </row>
    <row r="13" spans="1:18" ht="19" x14ac:dyDescent="0.2">
      <c r="A13" s="990" t="s">
        <v>456</v>
      </c>
      <c r="B13" s="1">
        <f>L4*M4</f>
        <v>9.1378125000000074E-2</v>
      </c>
      <c r="C13" s="90">
        <v>1</v>
      </c>
      <c r="D13" s="450">
        <f>B13/C13</f>
        <v>9.1378125000000074E-2</v>
      </c>
      <c r="E13" s="1">
        <f>D13/D$17</f>
        <v>0.65073184800634798</v>
      </c>
      <c r="F13" s="37">
        <f>FDIST(E13,C13,C$17)</f>
        <v>0.46508038975905858</v>
      </c>
      <c r="G13" s="990" t="s">
        <v>456</v>
      </c>
      <c r="H13" s="1">
        <f t="shared" ref="H13:I15" si="1">B13</f>
        <v>9.1378125000000074E-2</v>
      </c>
      <c r="I13" s="90">
        <f t="shared" si="1"/>
        <v>1</v>
      </c>
      <c r="J13" s="988">
        <f t="shared" ref="J13:J18" si="2">B13/B$18</f>
        <v>1.8899024928977919E-2</v>
      </c>
      <c r="K13" s="37">
        <f>1-_xlfn.BETA.DIST(J13/(J13+J$17),C13/2,C$17/2,1)</f>
        <v>0.46508038975905852</v>
      </c>
    </row>
    <row r="14" spans="1:18" ht="19" x14ac:dyDescent="0.2">
      <c r="A14" s="990" t="s">
        <v>455</v>
      </c>
      <c r="B14" s="1">
        <f>L5*M5</f>
        <v>1.033203125</v>
      </c>
      <c r="C14" s="90">
        <v>1</v>
      </c>
      <c r="D14" s="450">
        <f>B14/C14</f>
        <v>1.033203125</v>
      </c>
      <c r="E14" s="1">
        <f>D14/D$17</f>
        <v>7.3577585324407035</v>
      </c>
      <c r="F14" s="37">
        <f>FDIST(E14,C14,C$17)</f>
        <v>5.3398023229167257E-2</v>
      </c>
      <c r="G14" s="990" t="s">
        <v>455</v>
      </c>
      <c r="H14" s="1">
        <f t="shared" si="1"/>
        <v>1.033203125</v>
      </c>
      <c r="I14" s="90">
        <f t="shared" si="1"/>
        <v>1</v>
      </c>
      <c r="J14" s="988">
        <f t="shared" si="2"/>
        <v>0.21368934431597139</v>
      </c>
      <c r="K14" s="37">
        <f>1-_xlfn.BETA.DIST(J14/(J14+J$17),C14/2,C$17/2,1)</f>
        <v>5.3398023229167313E-2</v>
      </c>
    </row>
    <row r="15" spans="1:18" ht="18" x14ac:dyDescent="0.25">
      <c r="A15" s="989" t="s">
        <v>454</v>
      </c>
      <c r="B15" s="1">
        <f>L6*M6</f>
        <v>3.1487951250000004</v>
      </c>
      <c r="C15" s="90">
        <v>1</v>
      </c>
      <c r="D15" s="450">
        <f>B15/C15</f>
        <v>3.1487951250000004</v>
      </c>
      <c r="E15" s="1">
        <f>D15/D$17</f>
        <v>22.423542512878527</v>
      </c>
      <c r="F15" s="37">
        <f>FDIST(E15,C15,C$17)</f>
        <v>9.0682258197980342E-3</v>
      </c>
      <c r="G15" s="989" t="s">
        <v>454</v>
      </c>
      <c r="H15" s="1">
        <f t="shared" si="1"/>
        <v>3.1487951250000004</v>
      </c>
      <c r="I15" s="90">
        <f t="shared" si="1"/>
        <v>1</v>
      </c>
      <c r="J15" s="988">
        <f t="shared" si="2"/>
        <v>0.65124073801710314</v>
      </c>
      <c r="K15" s="37">
        <f>1-_xlfn.BETA.DIST(J15/(J15+J$17),C15/2,C$17/2,1)</f>
        <v>9.0682258197980481E-3</v>
      </c>
    </row>
    <row r="16" spans="1:18" x14ac:dyDescent="0.2">
      <c r="A16" s="518" t="s">
        <v>5</v>
      </c>
      <c r="B16" s="88">
        <f>SUMSQ(y_hat)-n*y_bar^2</f>
        <v>4.2733763750000016</v>
      </c>
      <c r="C16" s="80">
        <f>m-1</f>
        <v>3</v>
      </c>
      <c r="D16" s="118">
        <f>B16/C16</f>
        <v>1.4244587916666671</v>
      </c>
      <c r="E16" s="88">
        <f>D16/D17</f>
        <v>10.144010964441861</v>
      </c>
      <c r="F16" s="124">
        <f>FDIST(E16,C16,C$17)</f>
        <v>2.4302115027830994E-2</v>
      </c>
      <c r="G16" s="518" t="s">
        <v>5</v>
      </c>
      <c r="H16" s="88">
        <f>SUMSQ(y_hat)-n*y_bar^2</f>
        <v>4.2733763750000016</v>
      </c>
      <c r="I16" s="80">
        <f>m-1</f>
        <v>3</v>
      </c>
      <c r="J16" s="987">
        <f t="shared" si="2"/>
        <v>0.88382910726205266</v>
      </c>
      <c r="K16" s="124">
        <f>1-_xlfn.BETA.DIST(J16/(J16+J$17),C16/2,C$17/2,1)</f>
        <v>2.4302115027831084E-2</v>
      </c>
    </row>
    <row r="17" spans="1:11" x14ac:dyDescent="0.2">
      <c r="A17" s="513" t="s">
        <v>6</v>
      </c>
      <c r="B17" s="76">
        <f>SUMSQ(y)-SUMSQ(y_hat)</f>
        <v>0.56169449999999799</v>
      </c>
      <c r="C17" s="77">
        <f>n-m</f>
        <v>4</v>
      </c>
      <c r="D17" s="64">
        <f>B17/C17</f>
        <v>0.1404236249999995</v>
      </c>
      <c r="F17" s="90"/>
      <c r="G17" s="513" t="s">
        <v>6</v>
      </c>
      <c r="H17" s="76">
        <f>SUMSQ(y)-SUMSQ(y_hat)</f>
        <v>0.56169449999999799</v>
      </c>
      <c r="I17" s="77">
        <f>n-m</f>
        <v>4</v>
      </c>
      <c r="J17" s="986">
        <f t="shared" si="2"/>
        <v>0.11617089273794731</v>
      </c>
      <c r="K17" s="90"/>
    </row>
    <row r="18" spans="1:11" x14ac:dyDescent="0.2">
      <c r="A18" s="513" t="s">
        <v>7</v>
      </c>
      <c r="B18" s="76">
        <f>SUMSQ(y)-n*y_bar^2</f>
        <v>4.8350708749999995</v>
      </c>
      <c r="C18" s="77">
        <f>n-1</f>
        <v>7</v>
      </c>
      <c r="D18" s="76"/>
      <c r="E18" s="76"/>
      <c r="F18" s="77"/>
      <c r="G18" s="513" t="s">
        <v>7</v>
      </c>
      <c r="H18" s="76">
        <f>SUMSQ(y)-n*y_bar^2</f>
        <v>4.8350708749999995</v>
      </c>
      <c r="I18" s="77">
        <f>n-1</f>
        <v>7</v>
      </c>
      <c r="J18" s="986">
        <f t="shared" si="2"/>
        <v>1</v>
      </c>
      <c r="K18" s="77"/>
    </row>
  </sheetData>
  <mergeCells count="5">
    <mergeCell ref="A1:D1"/>
    <mergeCell ref="A11:F11"/>
    <mergeCell ref="G11:K11"/>
    <mergeCell ref="G7:H7"/>
    <mergeCell ref="G1:M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A1394-347B-40D2-AFDE-4775313B7F61}">
  <dimension ref="A1:J15"/>
  <sheetViews>
    <sheetView zoomScaleNormal="100" workbookViewId="0">
      <selection activeCell="F11" sqref="F11"/>
    </sheetView>
  </sheetViews>
  <sheetFormatPr baseColWidth="10" defaultColWidth="6.83203125" defaultRowHeight="16" x14ac:dyDescent="0.2"/>
  <cols>
    <col min="2" max="2" width="6.83203125" customWidth="1"/>
    <col min="11" max="11" width="6.83203125" customWidth="1"/>
  </cols>
  <sheetData>
    <row r="1" spans="1:10" ht="18" x14ac:dyDescent="0.2">
      <c r="A1" s="631" t="s">
        <v>453</v>
      </c>
      <c r="B1" s="1362" t="s">
        <v>14</v>
      </c>
      <c r="C1" s="1363"/>
      <c r="D1" s="1363"/>
      <c r="E1" s="1364"/>
      <c r="F1" s="1362" t="s">
        <v>452</v>
      </c>
      <c r="G1" s="1363"/>
      <c r="H1" s="1363"/>
      <c r="I1" s="1364"/>
      <c r="J1" s="631" t="s">
        <v>39</v>
      </c>
    </row>
    <row r="2" spans="1:10" x14ac:dyDescent="0.2">
      <c r="A2" s="717">
        <v>2.19</v>
      </c>
      <c r="B2" s="81">
        <v>1</v>
      </c>
      <c r="C2" s="88">
        <v>-0.5</v>
      </c>
      <c r="D2" s="88">
        <v>-0.5</v>
      </c>
      <c r="E2" s="80">
        <v>-0.5</v>
      </c>
      <c r="F2" s="81">
        <f t="array" ref="F2:I5">MMULT(TRANSPOSE(B2:E5),B2:E5)</f>
        <v>4</v>
      </c>
      <c r="G2" s="88">
        <v>0</v>
      </c>
      <c r="H2" s="88">
        <v>0</v>
      </c>
      <c r="I2" s="80">
        <v>0</v>
      </c>
      <c r="J2" s="517" t="e">
        <f t="array" aca="1" ref="J2:J5" ca="1">MMULT([5]!PseudoInv(B2:E5),A2:A5)</f>
        <v>#NAME?</v>
      </c>
    </row>
    <row r="3" spans="1:10" x14ac:dyDescent="0.2">
      <c r="A3" s="720">
        <v>2.7</v>
      </c>
      <c r="B3" s="455">
        <v>1</v>
      </c>
      <c r="C3" s="1">
        <v>1.5</v>
      </c>
      <c r="D3" s="1">
        <v>-0.5</v>
      </c>
      <c r="E3" s="90">
        <v>-0.5</v>
      </c>
      <c r="F3" s="455">
        <v>0</v>
      </c>
      <c r="G3" s="1">
        <v>3</v>
      </c>
      <c r="H3" s="1">
        <v>-1</v>
      </c>
      <c r="I3" s="90">
        <v>-1</v>
      </c>
      <c r="J3" s="35" t="e">
        <f ca="1"/>
        <v>#NAME?</v>
      </c>
    </row>
    <row r="4" spans="1:10" x14ac:dyDescent="0.2">
      <c r="A4" s="720">
        <v>2.95</v>
      </c>
      <c r="B4" s="455">
        <v>1</v>
      </c>
      <c r="C4" s="1">
        <v>-0.5</v>
      </c>
      <c r="D4" s="1">
        <v>1.5</v>
      </c>
      <c r="E4" s="90">
        <v>-0.5</v>
      </c>
      <c r="F4" s="455">
        <v>0</v>
      </c>
      <c r="G4" s="1">
        <v>-1</v>
      </c>
      <c r="H4" s="1">
        <v>3</v>
      </c>
      <c r="I4" s="90">
        <v>-1</v>
      </c>
      <c r="J4" s="35" t="e">
        <f ca="1"/>
        <v>#NAME?</v>
      </c>
    </row>
    <row r="5" spans="1:10" x14ac:dyDescent="0.2">
      <c r="A5" s="716">
        <v>2.83</v>
      </c>
      <c r="B5" s="106">
        <v>1</v>
      </c>
      <c r="C5" s="76">
        <v>-0.5</v>
      </c>
      <c r="D5" s="76">
        <v>-0.5</v>
      </c>
      <c r="E5" s="77">
        <v>1.5</v>
      </c>
      <c r="F5" s="106">
        <v>0</v>
      </c>
      <c r="G5" s="76">
        <v>-1</v>
      </c>
      <c r="H5" s="76">
        <v>-1</v>
      </c>
      <c r="I5" s="77">
        <v>3</v>
      </c>
      <c r="J5" s="64" t="e">
        <f ca="1"/>
        <v>#NAME?</v>
      </c>
    </row>
    <row r="6" spans="1:10" ht="18" x14ac:dyDescent="0.2">
      <c r="A6" s="631" t="s">
        <v>451</v>
      </c>
      <c r="B6" s="1362" t="s">
        <v>450</v>
      </c>
      <c r="C6" s="1363"/>
      <c r="D6" s="1363"/>
      <c r="E6" s="1364"/>
      <c r="F6" s="1362" t="s">
        <v>449</v>
      </c>
      <c r="G6" s="1363"/>
      <c r="H6" s="1363"/>
      <c r="I6" s="1364"/>
      <c r="J6" s="631" t="s">
        <v>386</v>
      </c>
    </row>
    <row r="7" spans="1:10" x14ac:dyDescent="0.2">
      <c r="A7" s="717" t="e">
        <f t="array" aca="1" ref="A7:A10" ca="1">MMULT(B7:E10,J7:J10)</f>
        <v>#NAME?</v>
      </c>
      <c r="B7" s="81" t="e">
        <f t="array" aca="1" ref="B7:E10" ca="1">MMULT(B2:E5,B12:E15)</f>
        <v>#NAME?</v>
      </c>
      <c r="C7" s="88" t="e">
        <f ca="1"/>
        <v>#NAME?</v>
      </c>
      <c r="D7" s="985" t="e">
        <f ca="1"/>
        <v>#NAME?</v>
      </c>
      <c r="E7" s="80" t="e">
        <f ca="1"/>
        <v>#NAME?</v>
      </c>
      <c r="F7" s="81" t="e">
        <f t="array" aca="1" ref="F7:I10" ca="1">MMULT(TRANSPOSE(B7:E10),B7:E10)</f>
        <v>#NAME?</v>
      </c>
      <c r="G7" s="88" t="e">
        <f ca="1"/>
        <v>#NAME?</v>
      </c>
      <c r="H7" s="88" t="e">
        <f ca="1"/>
        <v>#NAME?</v>
      </c>
      <c r="I7" s="80" t="e">
        <f ca="1"/>
        <v>#NAME?</v>
      </c>
      <c r="J7" s="517" t="e">
        <f t="array" aca="1" ref="J7:J10" ca="1">MMULT(TRANSPOSE(B12:E15),J2:J5)</f>
        <v>#NAME?</v>
      </c>
    </row>
    <row r="8" spans="1:10" x14ac:dyDescent="0.2">
      <c r="A8" s="720" t="e">
        <f ca="1"/>
        <v>#NAME?</v>
      </c>
      <c r="B8" s="514" t="e">
        <f ca="1"/>
        <v>#NAME?</v>
      </c>
      <c r="C8" s="1" t="e">
        <f ca="1"/>
        <v>#NAME?</v>
      </c>
      <c r="D8" s="1" t="e">
        <f ca="1"/>
        <v>#NAME?</v>
      </c>
      <c r="E8" s="90" t="e">
        <f ca="1"/>
        <v>#NAME?</v>
      </c>
      <c r="F8" s="455" t="e">
        <f ca="1"/>
        <v>#NAME?</v>
      </c>
      <c r="G8" s="1" t="e">
        <f ca="1"/>
        <v>#NAME?</v>
      </c>
      <c r="H8" s="1" t="e">
        <f ca="1"/>
        <v>#NAME?</v>
      </c>
      <c r="I8" s="90" t="e">
        <f ca="1"/>
        <v>#NAME?</v>
      </c>
      <c r="J8" s="35" t="e">
        <f ca="1"/>
        <v>#NAME?</v>
      </c>
    </row>
    <row r="9" spans="1:10" x14ac:dyDescent="0.2">
      <c r="A9" s="720" t="e">
        <f ca="1"/>
        <v>#NAME?</v>
      </c>
      <c r="B9" s="514" t="e">
        <f ca="1"/>
        <v>#NAME?</v>
      </c>
      <c r="C9" s="1" t="e">
        <f ca="1"/>
        <v>#NAME?</v>
      </c>
      <c r="D9" s="1" t="e">
        <f ca="1"/>
        <v>#NAME?</v>
      </c>
      <c r="E9" s="90" t="e">
        <f ca="1"/>
        <v>#NAME?</v>
      </c>
      <c r="F9" s="455" t="e">
        <f ca="1"/>
        <v>#NAME?</v>
      </c>
      <c r="G9" s="1" t="e">
        <f ca="1"/>
        <v>#NAME?</v>
      </c>
      <c r="H9" s="1" t="e">
        <f ca="1"/>
        <v>#NAME?</v>
      </c>
      <c r="I9" s="90" t="e">
        <f ca="1"/>
        <v>#NAME?</v>
      </c>
      <c r="J9" s="35" t="e">
        <f ca="1"/>
        <v>#NAME?</v>
      </c>
    </row>
    <row r="10" spans="1:10" x14ac:dyDescent="0.2">
      <c r="A10" s="716" t="e">
        <f ca="1"/>
        <v>#NAME?</v>
      </c>
      <c r="B10" s="106" t="e">
        <f ca="1"/>
        <v>#NAME?</v>
      </c>
      <c r="C10" s="76" t="e">
        <f ca="1"/>
        <v>#NAME?</v>
      </c>
      <c r="D10" s="76" t="e">
        <f ca="1"/>
        <v>#NAME?</v>
      </c>
      <c r="E10" s="77" t="e">
        <f ca="1"/>
        <v>#NAME?</v>
      </c>
      <c r="F10" s="106" t="e">
        <f ca="1"/>
        <v>#NAME?</v>
      </c>
      <c r="G10" s="76" t="e">
        <f ca="1"/>
        <v>#NAME?</v>
      </c>
      <c r="H10" s="76" t="e">
        <f ca="1"/>
        <v>#NAME?</v>
      </c>
      <c r="I10" s="77" t="e">
        <f ca="1"/>
        <v>#NAME?</v>
      </c>
      <c r="J10" s="64" t="e">
        <f ca="1"/>
        <v>#NAME?</v>
      </c>
    </row>
    <row r="11" spans="1:10" x14ac:dyDescent="0.2">
      <c r="A11" s="452" t="s">
        <v>448</v>
      </c>
      <c r="B11" s="456" t="e">
        <f t="array" aca="1" ref="B11:E15" ca="1">[5]!eigVECTSym(F2:I5)</f>
        <v>#NAME?</v>
      </c>
      <c r="C11" s="457" t="e">
        <f ca="1"/>
        <v>#NAME?</v>
      </c>
      <c r="D11" s="457" t="e">
        <f ca="1"/>
        <v>#NAME?</v>
      </c>
      <c r="E11" s="93" t="e">
        <f ca="1"/>
        <v>#NAME?</v>
      </c>
      <c r="F11" s="1"/>
      <c r="G11" s="1"/>
      <c r="H11" s="1"/>
      <c r="I11" s="1"/>
      <c r="J11" s="1"/>
    </row>
    <row r="12" spans="1:10" x14ac:dyDescent="0.2">
      <c r="A12" s="1365" t="s">
        <v>447</v>
      </c>
      <c r="B12" s="81" t="e">
        <f ca="1"/>
        <v>#NAME?</v>
      </c>
      <c r="C12" s="88" t="e">
        <f ca="1"/>
        <v>#NAME?</v>
      </c>
      <c r="D12" s="88" t="e">
        <f ca="1"/>
        <v>#NAME?</v>
      </c>
      <c r="E12" s="80" t="e">
        <f ca="1"/>
        <v>#NAME?</v>
      </c>
      <c r="F12" s="1"/>
      <c r="G12" s="1"/>
      <c r="H12" s="1"/>
      <c r="I12" s="1"/>
      <c r="J12" s="1"/>
    </row>
    <row r="13" spans="1:10" x14ac:dyDescent="0.2">
      <c r="A13" s="1366"/>
      <c r="B13" s="455" t="e">
        <f ca="1"/>
        <v>#NAME?</v>
      </c>
      <c r="C13" s="1" t="e">
        <f ca="1"/>
        <v>#NAME?</v>
      </c>
      <c r="D13" s="1" t="e">
        <f ca="1"/>
        <v>#NAME?</v>
      </c>
      <c r="E13" s="90" t="e">
        <f ca="1"/>
        <v>#NAME?</v>
      </c>
      <c r="F13" s="1"/>
      <c r="G13" s="1"/>
      <c r="H13" s="1"/>
      <c r="I13" s="1"/>
      <c r="J13" s="1"/>
    </row>
    <row r="14" spans="1:10" x14ac:dyDescent="0.2">
      <c r="A14" s="1366"/>
      <c r="B14" s="455" t="e">
        <f ca="1"/>
        <v>#NAME?</v>
      </c>
      <c r="C14" s="1" t="e">
        <f ca="1"/>
        <v>#NAME?</v>
      </c>
      <c r="D14" s="1" t="e">
        <f ca="1"/>
        <v>#NAME?</v>
      </c>
      <c r="E14" s="90" t="e">
        <f ca="1"/>
        <v>#NAME?</v>
      </c>
      <c r="F14" s="1"/>
      <c r="G14" s="1"/>
      <c r="H14" s="1"/>
      <c r="I14" s="1"/>
      <c r="J14" s="1"/>
    </row>
    <row r="15" spans="1:10" x14ac:dyDescent="0.2">
      <c r="A15" s="1367"/>
      <c r="B15" s="106" t="e">
        <f ca="1"/>
        <v>#NAME?</v>
      </c>
      <c r="C15" s="76" t="e">
        <f ca="1"/>
        <v>#NAME?</v>
      </c>
      <c r="D15" s="76" t="e">
        <f ca="1"/>
        <v>#NAME?</v>
      </c>
      <c r="E15" s="77" t="e">
        <f ca="1"/>
        <v>#NAME?</v>
      </c>
      <c r="F15" s="1"/>
      <c r="G15" s="1"/>
      <c r="H15" s="1"/>
      <c r="I15" s="1"/>
      <c r="J15" s="1"/>
    </row>
  </sheetData>
  <mergeCells count="5">
    <mergeCell ref="B1:E1"/>
    <mergeCell ref="F1:I1"/>
    <mergeCell ref="B6:E6"/>
    <mergeCell ref="F6:I6"/>
    <mergeCell ref="A12:A15"/>
  </mergeCells>
  <conditionalFormatting sqref="F7:I10">
    <cfRule type="cellIs" dxfId="70" priority="1" operator="between">
      <formula>-0.0001</formula>
      <formula>0.0001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37</vt:i4>
      </vt:variant>
      <vt:variant>
        <vt:lpstr>Named Ranges</vt:lpstr>
      </vt:variant>
      <vt:variant>
        <vt:i4>201</vt:i4>
      </vt:variant>
    </vt:vector>
  </HeadingPairs>
  <TitlesOfParts>
    <vt:vector size="238" baseType="lpstr">
      <vt:lpstr>Instructions</vt:lpstr>
      <vt:lpstr>p 109</vt:lpstr>
      <vt:lpstr>9.1-1</vt:lpstr>
      <vt:lpstr>9.5-1</vt:lpstr>
      <vt:lpstr>10.7-1</vt:lpstr>
      <vt:lpstr>10.8-1</vt:lpstr>
      <vt:lpstr>11.1-1</vt:lpstr>
      <vt:lpstr>11.2-1</vt:lpstr>
      <vt:lpstr>11.3-1</vt:lpstr>
      <vt:lpstr>11.4-1</vt:lpstr>
      <vt:lpstr>11.5-1,2</vt:lpstr>
      <vt:lpstr>11.6-1,2</vt:lpstr>
      <vt:lpstr>11.7-1</vt:lpstr>
      <vt:lpstr>12.5-3</vt:lpstr>
      <vt:lpstr>12.7-1</vt:lpstr>
      <vt:lpstr>12.11-1</vt:lpstr>
      <vt:lpstr>12.13-1</vt:lpstr>
      <vt:lpstr>12.14-1</vt:lpstr>
      <vt:lpstr>13.2-1</vt:lpstr>
      <vt:lpstr>13.4-1</vt:lpstr>
      <vt:lpstr>13.5-1</vt:lpstr>
      <vt:lpstr>14.1-2</vt:lpstr>
      <vt:lpstr>14.1-4</vt:lpstr>
      <vt:lpstr>14.4-2</vt:lpstr>
      <vt:lpstr>15.1-5</vt:lpstr>
      <vt:lpstr>15.4-1</vt:lpstr>
      <vt:lpstr>16.2-1</vt:lpstr>
      <vt:lpstr>16.3-4</vt:lpstr>
      <vt:lpstr>16.5-1</vt:lpstr>
      <vt:lpstr>16.7-1,2,3</vt:lpstr>
      <vt:lpstr>16.8-1</vt:lpstr>
      <vt:lpstr>16.10-1</vt:lpstr>
      <vt:lpstr>16.11-1</vt:lpstr>
      <vt:lpstr>16.10-1 Basis</vt:lpstr>
      <vt:lpstr>Fig 17.1-1</vt:lpstr>
      <vt:lpstr>18.1-3</vt:lpstr>
      <vt:lpstr>20.3-1</vt:lpstr>
      <vt:lpstr>'10.7-1'!a</vt:lpstr>
      <vt:lpstr>'10.8-1'!a</vt:lpstr>
      <vt:lpstr>'11.2-1'!a</vt:lpstr>
      <vt:lpstr>'11.4-1'!A</vt:lpstr>
      <vt:lpstr>'11.5-1,2'!a</vt:lpstr>
      <vt:lpstr>'11.6-1,2'!a</vt:lpstr>
      <vt:lpstr>'11.7-1'!a</vt:lpstr>
      <vt:lpstr>'12.13-1'!a</vt:lpstr>
      <vt:lpstr>'14.4-2'!a</vt:lpstr>
      <vt:lpstr>'16.3-4'!a</vt:lpstr>
      <vt:lpstr>'16.7-1,2,3'!a</vt:lpstr>
      <vt:lpstr>'16.8-1'!a</vt:lpstr>
      <vt:lpstr>'9.5-1'!a</vt:lpstr>
      <vt:lpstr>'11.4-1'!a_0</vt:lpstr>
      <vt:lpstr>'11.7-1'!a_0</vt:lpstr>
      <vt:lpstr>'11.7-1'!a_1</vt:lpstr>
      <vt:lpstr>'9.5-1'!a_1</vt:lpstr>
      <vt:lpstr>'11.7-1'!a_2</vt:lpstr>
      <vt:lpstr>'9.5-1'!a_2</vt:lpstr>
      <vt:lpstr>'11.7-1'!a_3</vt:lpstr>
      <vt:lpstr>'16.8-1'!a_j</vt:lpstr>
      <vt:lpstr>'16.7-1,2,3'!a_x1</vt:lpstr>
      <vt:lpstr>'16.7-1,2,3'!a_x2</vt:lpstr>
      <vt:lpstr>'16.7-1,2,3'!a_x3</vt:lpstr>
      <vt:lpstr>'16.7-1,2,3'!a_x4</vt:lpstr>
      <vt:lpstr>'16.7-1,2,3'!a_x5</vt:lpstr>
      <vt:lpstr>'16.7-1,2,3'!a_y1</vt:lpstr>
      <vt:lpstr>'16.7-1,2,3'!a_y2</vt:lpstr>
      <vt:lpstr>'16.7-1,2,3'!a_y3</vt:lpstr>
      <vt:lpstr>'16.7-1,2,3'!a_y4</vt:lpstr>
      <vt:lpstr>'16.7-1,2,3'!a_y5</vt:lpstr>
      <vt:lpstr>'11.5-1,2'!b</vt:lpstr>
      <vt:lpstr>'11.6-1,2'!b</vt:lpstr>
      <vt:lpstr>'11.7-1'!b</vt:lpstr>
      <vt:lpstr>'14.4-2'!b</vt:lpstr>
      <vt:lpstr>'11.7-1'!c_</vt:lpstr>
      <vt:lpstr>'11.7-1'!d</vt:lpstr>
      <vt:lpstr>'16.3-4'!DFR</vt:lpstr>
      <vt:lpstr>'16.7-1,2,3'!DFR</vt:lpstr>
      <vt:lpstr>'16.8-1'!DFR</vt:lpstr>
      <vt:lpstr>DFR</vt:lpstr>
      <vt:lpstr>DFT</vt:lpstr>
      <vt:lpstr>'15.4-1'!F_s</vt:lpstr>
      <vt:lpstr>'15.4-1'!F_t</vt:lpstr>
      <vt:lpstr>'9.5-1'!H</vt:lpstr>
      <vt:lpstr>'16.11-1'!h_max</vt:lpstr>
      <vt:lpstr>'14.1-2'!INV_S</vt:lpstr>
      <vt:lpstr>'14.4-2'!INV_S</vt:lpstr>
      <vt:lpstr>'14.1-2'!INV_S1</vt:lpstr>
      <vt:lpstr>'14.1-2'!INV_S2</vt:lpstr>
      <vt:lpstr>'14.1-2'!INV_S3</vt:lpstr>
      <vt:lpstr>'14.4-2'!INV_X</vt:lpstr>
      <vt:lpstr>'16.3-4'!INV_XTX</vt:lpstr>
      <vt:lpstr>'16.8-1'!INV_XTX</vt:lpstr>
      <vt:lpstr>INV_XTX</vt:lpstr>
      <vt:lpstr>'15.1-5'!INV_ZSA</vt:lpstr>
      <vt:lpstr>'15.1-5'!INV_ZSC</vt:lpstr>
      <vt:lpstr>'15.1-5'!INV_ZSL</vt:lpstr>
      <vt:lpstr>'11.4-1'!K</vt:lpstr>
      <vt:lpstr>'11.6-1,2'!L</vt:lpstr>
      <vt:lpstr>L</vt:lpstr>
      <vt:lpstr>'11.7-1'!L_T</vt:lpstr>
      <vt:lpstr>'9.5-1'!LT_INV</vt:lpstr>
      <vt:lpstr>'11.2-1'!m</vt:lpstr>
      <vt:lpstr>'12.13-1'!m</vt:lpstr>
      <vt:lpstr>'16.11-1'!m</vt:lpstr>
      <vt:lpstr>'16.3-4'!m</vt:lpstr>
      <vt:lpstr>m</vt:lpstr>
      <vt:lpstr>'9.5-1'!m_1</vt:lpstr>
      <vt:lpstr>'9.5-1'!m_2</vt:lpstr>
      <vt:lpstr>'16.3-4'!MSR</vt:lpstr>
      <vt:lpstr>MSR</vt:lpstr>
      <vt:lpstr>'11.2-1'!n</vt:lpstr>
      <vt:lpstr>'12.13-1'!n</vt:lpstr>
      <vt:lpstr>'16.11-1'!n</vt:lpstr>
      <vt:lpstr>'16.3-4'!n</vt:lpstr>
      <vt:lpstr>n</vt:lpstr>
      <vt:lpstr>'11.7-1'!p</vt:lpstr>
      <vt:lpstr>'11.7-1'!p_0</vt:lpstr>
      <vt:lpstr>'11.7-1'!p_1</vt:lpstr>
      <vt:lpstr>'11.7-1'!p_2</vt:lpstr>
      <vt:lpstr>'11.7-1'!p_3</vt:lpstr>
      <vt:lpstr>'11.7-1'!Q</vt:lpstr>
      <vt:lpstr>'11.7-1'!Q_0</vt:lpstr>
      <vt:lpstr>'11.7-1'!Q_1</vt:lpstr>
      <vt:lpstr>'11.7-1'!Q_2</vt:lpstr>
      <vt:lpstr>'11.7-1'!Q_3</vt:lpstr>
      <vt:lpstr>'11.7-1'!Q_adj</vt:lpstr>
      <vt:lpstr>'15.4-1'!q_s</vt:lpstr>
      <vt:lpstr>'16.11-1'!S</vt:lpstr>
      <vt:lpstr>'16.7-1,2,3'!s</vt:lpstr>
      <vt:lpstr>'16.8-1'!s</vt:lpstr>
      <vt:lpstr>s</vt:lpstr>
      <vt:lpstr>'9.5-1'!s_1</vt:lpstr>
      <vt:lpstr>'9.5-1'!s_2</vt:lpstr>
      <vt:lpstr>'11.7-1'!Samek</vt:lpstr>
      <vt:lpstr>'11.7-1'!Samek_Inv</vt:lpstr>
      <vt:lpstr>'16.7-1,2,3'!t_crit</vt:lpstr>
      <vt:lpstr>'16.8-1'!t_crit</vt:lpstr>
      <vt:lpstr>'11.7-1'!U</vt:lpstr>
      <vt:lpstr>'12.13-1'!u</vt:lpstr>
      <vt:lpstr>'11.4-1'!u_</vt:lpstr>
      <vt:lpstr>'11.7-1'!V</vt:lpstr>
      <vt:lpstr>'11.5-1,2'!W</vt:lpstr>
      <vt:lpstr>'11.6-1,2'!W</vt:lpstr>
      <vt:lpstr>'14.1-2'!W</vt:lpstr>
      <vt:lpstr>'14.4-2'!W</vt:lpstr>
      <vt:lpstr>'16.11-1'!W</vt:lpstr>
      <vt:lpstr>'14.1-2'!W_1</vt:lpstr>
      <vt:lpstr>'14.1-2'!W_2</vt:lpstr>
      <vt:lpstr>'9.5-1'!wX</vt:lpstr>
      <vt:lpstr>'10.7-1'!X</vt:lpstr>
      <vt:lpstr>'11.2-1'!X</vt:lpstr>
      <vt:lpstr>'11.4-1'!X</vt:lpstr>
      <vt:lpstr>'11.5-1,2'!X</vt:lpstr>
      <vt:lpstr>'11.6-1,2'!X</vt:lpstr>
      <vt:lpstr>'11.7-1'!X</vt:lpstr>
      <vt:lpstr>'12.13-1'!X</vt:lpstr>
      <vt:lpstr>'12.14-1'!X</vt:lpstr>
      <vt:lpstr>'14.1-2'!X</vt:lpstr>
      <vt:lpstr>'14.1-4'!X</vt:lpstr>
      <vt:lpstr>'14.4-2'!X</vt:lpstr>
      <vt:lpstr>'16.11-1'!X</vt:lpstr>
      <vt:lpstr>'16.3-4'!X</vt:lpstr>
      <vt:lpstr>'16.7-1,2,3'!X</vt:lpstr>
      <vt:lpstr>'16.8-1'!X</vt:lpstr>
      <vt:lpstr>'18.1-3'!X</vt:lpstr>
      <vt:lpstr>X</vt:lpstr>
      <vt:lpstr>'11.4-1'!x_</vt:lpstr>
      <vt:lpstr>'16.11-1'!x_</vt:lpstr>
      <vt:lpstr>'11.7-1'!X_0</vt:lpstr>
      <vt:lpstr>'11.7-1'!X_1</vt:lpstr>
      <vt:lpstr>'16.7-1,2,3'!x_1</vt:lpstr>
      <vt:lpstr>'11.7-1'!X_2</vt:lpstr>
      <vt:lpstr>'16.7-1,2,3'!x_2</vt:lpstr>
      <vt:lpstr>'11.7-1'!X_3</vt:lpstr>
      <vt:lpstr>'16.7-1,2,3'!x_3</vt:lpstr>
      <vt:lpstr>'16.7-1,2,3'!x_4</vt:lpstr>
      <vt:lpstr>'16.7-1,2,3'!x_5</vt:lpstr>
      <vt:lpstr>'16.7-1,2,3'!X_not_1</vt:lpstr>
      <vt:lpstr>'16.7-1,2,3'!X_not_2</vt:lpstr>
      <vt:lpstr>'16.7-1,2,3'!X_not_3</vt:lpstr>
      <vt:lpstr>X_not_4</vt:lpstr>
      <vt:lpstr>'16.7-1,2,3'!X_not_5</vt:lpstr>
      <vt:lpstr>'11.4-1'!x_S</vt:lpstr>
      <vt:lpstr>X_sig</vt:lpstr>
      <vt:lpstr>'16.8-1'!x_SV</vt:lpstr>
      <vt:lpstr>'12.13-1'!XTX</vt:lpstr>
      <vt:lpstr>'14.4-2'!XTX</vt:lpstr>
      <vt:lpstr>'16.11-1'!XTX</vt:lpstr>
      <vt:lpstr>'18.1-3'!XTX</vt:lpstr>
      <vt:lpstr>'12.13-1'!XTX_Inv</vt:lpstr>
      <vt:lpstr>'12.13-1'!XTy</vt:lpstr>
      <vt:lpstr>'14.4-2'!XTy</vt:lpstr>
      <vt:lpstr>'16.3-4'!XTy</vt:lpstr>
      <vt:lpstr>XTy</vt:lpstr>
      <vt:lpstr>'10.7-1'!y</vt:lpstr>
      <vt:lpstr>'11.2-1'!y</vt:lpstr>
      <vt:lpstr>'11.4-1'!y</vt:lpstr>
      <vt:lpstr>'11.5-1,2'!y</vt:lpstr>
      <vt:lpstr>'11.6-1,2'!y</vt:lpstr>
      <vt:lpstr>'11.7-1'!y</vt:lpstr>
      <vt:lpstr>'12.13-1'!y</vt:lpstr>
      <vt:lpstr>'14.1-4'!y</vt:lpstr>
      <vt:lpstr>'14.4-2'!y</vt:lpstr>
      <vt:lpstr>'16.3-4'!y</vt:lpstr>
      <vt:lpstr>'16.7-1,2,3'!y</vt:lpstr>
      <vt:lpstr>'16.8-1'!y</vt:lpstr>
      <vt:lpstr>'18.1-3'!y</vt:lpstr>
      <vt:lpstr>'9.5-1'!y</vt:lpstr>
      <vt:lpstr>y</vt:lpstr>
      <vt:lpstr>'16.11-1'!y_</vt:lpstr>
      <vt:lpstr>y_adj</vt:lpstr>
      <vt:lpstr>'11.2-1'!y_bar</vt:lpstr>
      <vt:lpstr>'16.3-4'!y_bar</vt:lpstr>
      <vt:lpstr>'16.7-1,2,3'!y_bar</vt:lpstr>
      <vt:lpstr>'16.8-1'!y_bar</vt:lpstr>
      <vt:lpstr>'11.2-1'!y_hat</vt:lpstr>
      <vt:lpstr>'11.7-1'!y_hat</vt:lpstr>
      <vt:lpstr>'12.13-1'!y_hat</vt:lpstr>
      <vt:lpstr>'14.1-4'!y_hat</vt:lpstr>
      <vt:lpstr>'14.4-2'!y_hat</vt:lpstr>
      <vt:lpstr>'16.3-4'!y_hat</vt:lpstr>
      <vt:lpstr>'16.7-1,2,3'!y_hat</vt:lpstr>
      <vt:lpstr>'16.8-1'!y_hat</vt:lpstr>
      <vt:lpstr>'9.5-1'!y_hat</vt:lpstr>
      <vt:lpstr>y_hat_adj</vt:lpstr>
      <vt:lpstr>'18.1-3'!y_max</vt:lpstr>
      <vt:lpstr>'12.13-1'!y_r</vt:lpstr>
      <vt:lpstr>'11.4-1'!y_S</vt:lpstr>
      <vt:lpstr>'16.11-1'!z_</vt:lpstr>
      <vt:lpstr>'15.1-5'!Z_SA</vt:lpstr>
      <vt:lpstr>'15.1-5'!Z_SC</vt:lpstr>
      <vt:lpstr>'15.1-5'!Z_SL</vt:lpstr>
      <vt:lpstr>'11.4-1'!α</vt:lpstr>
      <vt:lpstr>'11.4-1'!β</vt:lpstr>
      <vt:lpstr>'16.11-1'!δ_pt</vt:lpstr>
      <vt:lpstr>'11.7-1'!ͶA</vt:lpstr>
      <vt:lpstr>'11.7-1'!ͶS_adj_Inv</vt:lpstr>
      <vt:lpstr>'11.4-1'!Λ</vt:lpstr>
      <vt:lpstr>'16.8-1'!λ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J. Colannino</dc:creator>
  <cp:lastModifiedBy>Joseph Colannino</cp:lastModifiedBy>
  <dcterms:created xsi:type="dcterms:W3CDTF">2025-03-02T19:18:23Z</dcterms:created>
  <dcterms:modified xsi:type="dcterms:W3CDTF">2026-06-09T18:11:42Z</dcterms:modified>
</cp:coreProperties>
</file>